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80" windowHeight="2880" activeTab="0"/>
  </bookViews>
  <sheets>
    <sheet name="Chargeuse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<sst xmlns="http://schemas.openxmlformats.org/spreadsheetml/2006/main" count="74" uniqueCount="62">
  <si>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kg</t>
  </si>
  <si>
    <t>m³</t>
  </si>
  <si>
    <t>vg³</t>
  </si>
  <si>
    <t>kg/m³</t>
  </si>
  <si>
    <t xml:space="preserve"> m³</t>
  </si>
  <si>
    <t>m³  =&gt;</t>
  </si>
  <si>
    <t>vg³  =&gt;</t>
  </si>
  <si>
    <t xml:space="preserve"> 100% = excellent,  95% = moyen,  90% = difficile</t>
  </si>
  <si>
    <t xml:space="preserve"> Segment 1</t>
  </si>
  <si>
    <t xml:space="preserve"> Segment 2</t>
  </si>
  <si>
    <t xml:space="preserve"> Segment 3</t>
  </si>
  <si>
    <t xml:space="preserve"> Segment 4</t>
  </si>
  <si>
    <t xml:space="preserve"> Segment 5</t>
  </si>
  <si>
    <t xml:space="preserve"> Segment 6</t>
  </si>
  <si>
    <t xml:space="preserve"> Segment 7</t>
  </si>
  <si>
    <t>m</t>
  </si>
  <si>
    <t>(minutes)</t>
  </si>
  <si>
    <t>min</t>
  </si>
  <si>
    <t>Utilisation possible</t>
  </si>
  <si>
    <t>Capacité de transport</t>
  </si>
  <si>
    <t>lb</t>
  </si>
  <si>
    <t>lb/vg³</t>
  </si>
  <si>
    <t>Capacité nominale du godet</t>
  </si>
  <si>
    <t xml:space="preserve">Facteur de remplissage du godet </t>
  </si>
  <si>
    <t>Vérification de la capacité de transport selon le type de godet et la densité du matériel à transporter</t>
  </si>
  <si>
    <t>Capacité</t>
  </si>
  <si>
    <t>Charge transportée</t>
  </si>
  <si>
    <t xml:space="preserve">2.0 -  Analyse du cycle de transport </t>
  </si>
  <si>
    <t>Longueur</t>
  </si>
  <si>
    <t>Vitesse (km/h)</t>
  </si>
  <si>
    <t>Temps</t>
  </si>
  <si>
    <t>(m)</t>
  </si>
  <si>
    <t>Aller</t>
  </si>
  <si>
    <t>Retour</t>
  </si>
  <si>
    <t>Distance totale parcourue</t>
  </si>
  <si>
    <t>Temps total par cycle</t>
  </si>
  <si>
    <t>Heures par quart</t>
  </si>
  <si>
    <t xml:space="preserve">Heures non-productives par quart </t>
  </si>
  <si>
    <t>Utilisation efficace</t>
  </si>
  <si>
    <t>Donc, le format idéal du godet est  :</t>
  </si>
  <si>
    <t>Votre choix de godet est :</t>
  </si>
  <si>
    <t>Capacité de transport avec le godet sélectionné</t>
  </si>
  <si>
    <t>Temps de transport</t>
  </si>
  <si>
    <t>Temps de chargement</t>
  </si>
  <si>
    <t>Temps de déchargement</t>
  </si>
  <si>
    <t>tonnes courtes/heure</t>
  </si>
  <si>
    <t>3.0 -  Calcul du tonnage transporté par quart</t>
  </si>
  <si>
    <t>Disponibilité mécanique et électrique</t>
  </si>
  <si>
    <t>tonnes courtes/quart</t>
  </si>
  <si>
    <t>tonnes courtes</t>
  </si>
  <si>
    <t>CAPACITÉ DE TRANSPORT SELON LE CHOIX DE CHARGEUSE-NAVETTE</t>
  </si>
  <si>
    <t>Densité du matériel en vrac</t>
  </si>
  <si>
    <t>tm</t>
  </si>
  <si>
    <t>Pente (%)</t>
  </si>
  <si>
    <t>tm/heure</t>
  </si>
  <si>
    <t>(incl le plein de carburant et l'entretien journalier)</t>
  </si>
  <si>
    <t>tm/quart</t>
  </si>
  <si>
    <t>1.0 -  Capacité de transport selon le type de matériel et de chargeuse-navette</t>
  </si>
  <si>
    <t>Calcul de la capacité maximale du godet selon le type de matériel et de chargeuse-navette</t>
  </si>
  <si>
    <t>Augmentation minimale de la capacité des godets par le manufacturier</t>
  </si>
  <si>
    <t>Nombre de godets par quart</t>
  </si>
  <si>
    <t>Version : 17 janvier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</si>
</sst>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0000"/>
    <numFmt numFmtId="171" formatCode="0.000000000"/>
    <numFmt numFmtId="172" formatCode="0.0000000000"/>
    <numFmt numFmtId="173" formatCode="0.00000000000"/>
  </numFmts>
  <fonts count="10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5" fillId="4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2" borderId="1" xfId="0" applyFont="1" applyFill="1" applyBorder="1" applyAlignment="1">
      <alignment/>
    </xf>
    <xf numFmtId="16" fontId="0" fillId="0" borderId="0" xfId="0" applyNumberFormat="1" applyAlignment="1">
      <alignment/>
    </xf>
    <xf numFmtId="166" fontId="0" fillId="3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0" fontId="4" fillId="0" borderId="0" xfId="0" applyFont="1" applyAlignment="1">
      <alignment/>
    </xf>
    <xf numFmtId="9" fontId="0" fillId="3" borderId="1" xfId="19" applyFill="1" applyBorder="1" applyAlignment="1">
      <alignment/>
    </xf>
    <xf numFmtId="9" fontId="0" fillId="2" borderId="1" xfId="19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0" fillId="2" borderId="1" xfId="0" applyNumberFormat="1" applyFill="1" applyBorder="1" applyAlignment="1">
      <alignment/>
    </xf>
    <xf numFmtId="0" fontId="8" fillId="0" borderId="0" xfId="0" applyFont="1" applyAlignment="1">
      <alignment horizontal="center"/>
    </xf>
    <xf numFmtId="166" fontId="0" fillId="2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indent="1"/>
    </xf>
    <xf numFmtId="166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" fontId="0" fillId="2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9" fontId="0" fillId="0" borderId="0" xfId="19" applyFill="1" applyBorder="1" applyAlignment="1">
      <alignment/>
    </xf>
    <xf numFmtId="0" fontId="0" fillId="4" borderId="15" xfId="0" applyFill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4" borderId="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13</xdr:row>
      <xdr:rowOff>104775</xdr:rowOff>
    </xdr:from>
    <xdr:to>
      <xdr:col>4</xdr:col>
      <xdr:colOff>523875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048000" y="2381250"/>
          <a:ext cx="4381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22</xdr:row>
      <xdr:rowOff>104775</xdr:rowOff>
    </xdr:from>
    <xdr:to>
      <xdr:col>4</xdr:col>
      <xdr:colOff>590550</xdr:colOff>
      <xdr:row>22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371850" y="3848100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22</xdr:row>
      <xdr:rowOff>104775</xdr:rowOff>
    </xdr:from>
    <xdr:to>
      <xdr:col>4</xdr:col>
      <xdr:colOff>600075</xdr:colOff>
      <xdr:row>23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362325" y="3848100"/>
          <a:ext cx="200025" cy="2190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29</xdr:row>
      <xdr:rowOff>76200</xdr:rowOff>
    </xdr:from>
    <xdr:to>
      <xdr:col>8</xdr:col>
      <xdr:colOff>371475</xdr:colOff>
      <xdr:row>32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686050" y="5000625"/>
          <a:ext cx="3476625" cy="561975"/>
        </a:xfrm>
        <a:prstGeom prst="rect">
          <a:avLst/>
        </a:prstGeom>
        <a:solidFill>
          <a:srgbClr val="00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Il est important de prendre en considération les courbes de performance de la chargeuse-navette sélectionnée en fonction de vos conditions de travail</a:t>
          </a:r>
        </a:p>
      </xdr:txBody>
    </xdr:sp>
    <xdr:clientData/>
  </xdr:twoCellAnchor>
  <xdr:twoCellAnchor>
    <xdr:from>
      <xdr:col>4</xdr:col>
      <xdr:colOff>104775</xdr:colOff>
      <xdr:row>52</xdr:row>
      <xdr:rowOff>28575</xdr:rowOff>
    </xdr:from>
    <xdr:to>
      <xdr:col>4</xdr:col>
      <xdr:colOff>190500</xdr:colOff>
      <xdr:row>54</xdr:row>
      <xdr:rowOff>152400</xdr:rowOff>
    </xdr:to>
    <xdr:sp>
      <xdr:nvSpPr>
        <xdr:cNvPr id="5" name="AutoShape 31"/>
        <xdr:cNvSpPr>
          <a:spLocks/>
        </xdr:cNvSpPr>
      </xdr:nvSpPr>
      <xdr:spPr>
        <a:xfrm>
          <a:off x="3067050" y="8943975"/>
          <a:ext cx="85725" cy="447675"/>
        </a:xfrm>
        <a:prstGeom prst="rightBrace">
          <a:avLst>
            <a:gd name="adj" fmla="val 2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53</xdr:row>
      <xdr:rowOff>104775</xdr:rowOff>
    </xdr:from>
    <xdr:to>
      <xdr:col>4</xdr:col>
      <xdr:colOff>561975</xdr:colOff>
      <xdr:row>53</xdr:row>
      <xdr:rowOff>104775</xdr:rowOff>
    </xdr:to>
    <xdr:sp>
      <xdr:nvSpPr>
        <xdr:cNvPr id="6" name="Line 33"/>
        <xdr:cNvSpPr>
          <a:spLocks/>
        </xdr:cNvSpPr>
      </xdr:nvSpPr>
      <xdr:spPr>
        <a:xfrm>
          <a:off x="3228975" y="9182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 topLeftCell="E2">
      <selection activeCell="I4" sqref="I4"/>
    </sheetView>
  </sheetViews>
  <sheetFormatPr defaultColWidth="9.140625" defaultRowHeight="12.75"/>
  <cols>
    <col min="1" max="1" width="15.28125" style="0" customWidth="1"/>
    <col min="2" max="2" width="10.8515625" style="0" customWidth="1"/>
    <col min="5" max="5" width="11.421875" style="0" customWidth="1"/>
    <col min="6" max="6" width="9.57421875" style="0" bestFit="1" customWidth="1"/>
    <col min="7" max="7" width="10.28125" style="0" customWidth="1"/>
    <col min="8" max="8" width="11.140625" style="0" customWidth="1"/>
    <col min="9" max="9" width="9.28125" style="0" customWidth="1"/>
    <col min="10" max="10" width="7.421875" style="0" customWidth="1"/>
  </cols>
  <sheetData>
    <row r="1" ht="18">
      <c r="A1" s="1" t="s">
        <v>50</v>
      </c>
    </row>
    <row r="3" spans="1:9" ht="18">
      <c r="A3" s="1"/>
      <c r="I3" t="s">
        <v>61</v>
      </c>
    </row>
    <row r="4" spans="1:7" ht="12.75">
      <c r="A4" t="s">
        <v>19</v>
      </c>
      <c r="D4" s="9">
        <v>6000</v>
      </c>
      <c r="E4" t="s">
        <v>0</v>
      </c>
      <c r="F4" s="8">
        <f>ROUND(+D4*2.205,-1)</f>
        <v>13230</v>
      </c>
      <c r="G4" t="s">
        <v>20</v>
      </c>
    </row>
    <row r="5" spans="1:7" ht="12.75">
      <c r="A5" t="s">
        <v>22</v>
      </c>
      <c r="D5" s="9">
        <v>2.3</v>
      </c>
      <c r="E5" t="s">
        <v>1</v>
      </c>
      <c r="F5" s="3">
        <f>ROUND(D5/0.7645,3)</f>
        <v>3.009</v>
      </c>
      <c r="G5" t="s">
        <v>2</v>
      </c>
    </row>
    <row r="6" spans="1:7" ht="12.75">
      <c r="A6" t="s">
        <v>51</v>
      </c>
      <c r="D6" s="26">
        <f>3750/1.38</f>
        <v>2717.3913043478265</v>
      </c>
      <c r="E6" t="s">
        <v>3</v>
      </c>
      <c r="F6" s="8">
        <f>ROUND(+D6*2.205*0.7645,-1)</f>
        <v>4580</v>
      </c>
      <c r="G6" t="s">
        <v>21</v>
      </c>
    </row>
    <row r="8" spans="1:10" ht="12.75">
      <c r="A8" t="s">
        <v>23</v>
      </c>
      <c r="D8" s="29">
        <v>0.95</v>
      </c>
      <c r="E8" s="51" t="s">
        <v>7</v>
      </c>
      <c r="F8" s="52"/>
      <c r="G8" s="52"/>
      <c r="H8" s="52"/>
      <c r="I8" s="52"/>
      <c r="J8" s="53"/>
    </row>
    <row r="10" ht="15.75">
      <c r="A10" s="28" t="s">
        <v>57</v>
      </c>
    </row>
    <row r="12" ht="12.75">
      <c r="A12" s="41" t="s">
        <v>24</v>
      </c>
    </row>
    <row r="13" spans="2:4" ht="12.75">
      <c r="B13" s="40" t="s">
        <v>25</v>
      </c>
      <c r="D13" s="40" t="s">
        <v>26</v>
      </c>
    </row>
    <row r="14" spans="2:8" ht="18">
      <c r="B14" s="8">
        <f>+D4</f>
        <v>6000</v>
      </c>
      <c r="C14" s="38" t="str">
        <f>IF(D14&lt;B14," &gt; "," &lt; ")</f>
        <v> &gt; </v>
      </c>
      <c r="D14" s="37">
        <f>+D5*D6*D8</f>
        <v>5937.5</v>
      </c>
      <c r="F14" s="7" t="str">
        <f>IF(D14&lt;B14," Bon choix de godet","Le godet est trop grand")</f>
        <v> Bon choix de godet</v>
      </c>
      <c r="G14" s="48"/>
      <c r="H14" s="6"/>
    </row>
    <row r="15" ht="8.25" customHeight="1"/>
    <row r="16" ht="12.75">
      <c r="B16" t="s">
        <v>58</v>
      </c>
    </row>
    <row r="17" spans="2:5" ht="12.75">
      <c r="B17" s="3">
        <f>+D4/D6/D8</f>
        <v>2.3242105263157895</v>
      </c>
      <c r="C17" t="s">
        <v>4</v>
      </c>
      <c r="D17" s="3">
        <f>+B17/0.7645</f>
        <v>3.0401707342260167</v>
      </c>
      <c r="E17" t="s">
        <v>2</v>
      </c>
    </row>
    <row r="18" ht="12.75">
      <c r="B18" t="s">
        <v>59</v>
      </c>
    </row>
    <row r="19" spans="1:5" ht="12.75">
      <c r="A19" s="25"/>
      <c r="B19" s="4">
        <v>0.25</v>
      </c>
      <c r="C19" t="s">
        <v>1</v>
      </c>
      <c r="D19" s="3">
        <f>ROUND(+B19*0.7645,2)</f>
        <v>0.19</v>
      </c>
      <c r="E19" t="s">
        <v>2</v>
      </c>
    </row>
    <row r="21" spans="2:9" ht="12.75">
      <c r="B21" t="s">
        <v>39</v>
      </c>
      <c r="F21" s="5">
        <f>ROUNDDOWN((B17/B19),0)*B19</f>
        <v>2.25</v>
      </c>
      <c r="G21" t="s">
        <v>1</v>
      </c>
      <c r="H21" s="44">
        <f>ROUNDDOWN((D17/D19),0)*D19</f>
        <v>3.04</v>
      </c>
      <c r="I21" t="s">
        <v>2</v>
      </c>
    </row>
    <row r="23" spans="2:9" ht="12.75">
      <c r="B23" s="11" t="s">
        <v>40</v>
      </c>
      <c r="F23" s="27">
        <v>2.3</v>
      </c>
      <c r="G23" t="s">
        <v>5</v>
      </c>
      <c r="H23" s="3">
        <f>ROUND(+F23/0.7645,2)</f>
        <v>3.01</v>
      </c>
      <c r="I23" t="s">
        <v>2</v>
      </c>
    </row>
    <row r="24" spans="1:4" ht="15" customHeight="1">
      <c r="A24" s="50">
        <f>IF(F23&gt;0,IF(F25&gt;0," Choisissez une des deux possibilités, métrique ou impériale",""),"")</f>
      </c>
      <c r="B24" s="50"/>
      <c r="C24" s="50"/>
      <c r="D24" s="50"/>
    </row>
    <row r="25" spans="1:9" ht="12.75">
      <c r="A25" s="50"/>
      <c r="B25" s="50"/>
      <c r="C25" s="50"/>
      <c r="D25" s="50"/>
      <c r="F25" s="4"/>
      <c r="G25" t="s">
        <v>6</v>
      </c>
      <c r="H25" s="5">
        <f>ROUND(+F25*0.7645,23)</f>
        <v>0</v>
      </c>
      <c r="I25" t="s">
        <v>1</v>
      </c>
    </row>
    <row r="26" ht="13.5" thickBot="1"/>
    <row r="27" spans="1:10" ht="12.75">
      <c r="A27" s="12"/>
      <c r="B27" s="13"/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19" t="s">
        <v>41</v>
      </c>
      <c r="B28" s="15"/>
      <c r="C28" s="15"/>
      <c r="D28" s="15"/>
      <c r="E28" s="15"/>
      <c r="F28" s="20">
        <f>ROUND(IF(F23&gt;0,F23*D6*D8/1000,F25*F6*D8/2000/1.1023),2)</f>
        <v>5.94</v>
      </c>
      <c r="G28" s="22" t="s">
        <v>52</v>
      </c>
      <c r="H28" s="21">
        <f>ROUND(+F28*1.1023,2)</f>
        <v>6.55</v>
      </c>
      <c r="I28" s="22" t="s">
        <v>49</v>
      </c>
      <c r="J28" s="23"/>
    </row>
    <row r="29" spans="1:10" ht="13.5" thickBot="1">
      <c r="A29" s="16"/>
      <c r="B29" s="17"/>
      <c r="C29" s="17"/>
      <c r="D29" s="17"/>
      <c r="E29" s="17"/>
      <c r="F29" s="17"/>
      <c r="G29" s="17"/>
      <c r="H29" s="17"/>
      <c r="I29" s="17"/>
      <c r="J29" s="18"/>
    </row>
    <row r="31" ht="15.75">
      <c r="A31" s="28" t="s">
        <v>27</v>
      </c>
    </row>
    <row r="33" ht="15">
      <c r="A33" s="34"/>
    </row>
    <row r="34" spans="2:7" ht="12.75">
      <c r="B34" s="33" t="s">
        <v>28</v>
      </c>
      <c r="C34" s="49" t="s">
        <v>53</v>
      </c>
      <c r="D34" s="49"/>
      <c r="E34" s="49" t="s">
        <v>29</v>
      </c>
      <c r="F34" s="49"/>
      <c r="G34" s="33" t="s">
        <v>30</v>
      </c>
    </row>
    <row r="35" spans="2:7" ht="12.75">
      <c r="B35" s="32" t="s">
        <v>31</v>
      </c>
      <c r="C35" s="31" t="s">
        <v>32</v>
      </c>
      <c r="D35" s="31" t="s">
        <v>33</v>
      </c>
      <c r="E35" s="31" t="s">
        <v>32</v>
      </c>
      <c r="F35" s="31" t="s">
        <v>33</v>
      </c>
      <c r="G35" s="32" t="s">
        <v>16</v>
      </c>
    </row>
    <row r="36" spans="1:11" ht="12.75">
      <c r="A36" t="s">
        <v>8</v>
      </c>
      <c r="B36" s="9">
        <v>20</v>
      </c>
      <c r="C36" s="29">
        <v>0</v>
      </c>
      <c r="D36" s="30">
        <f>-C36</f>
        <v>0</v>
      </c>
      <c r="E36" s="26">
        <v>2</v>
      </c>
      <c r="F36" s="26">
        <v>3</v>
      </c>
      <c r="G36" s="3">
        <f aca="true" t="shared" si="0" ref="G36:G42">IF(E36&gt;0,IF(F36&gt;0,(B36/E36+B36/F36)/1000*60,0),0)</f>
        <v>1</v>
      </c>
      <c r="K36" s="2"/>
    </row>
    <row r="37" spans="1:7" ht="12.75">
      <c r="A37" t="s">
        <v>9</v>
      </c>
      <c r="B37" s="9">
        <v>80</v>
      </c>
      <c r="C37" s="29">
        <v>0</v>
      </c>
      <c r="D37" s="30">
        <f aca="true" t="shared" si="1" ref="D37:D42">-C37</f>
        <v>0</v>
      </c>
      <c r="E37" s="26">
        <v>6</v>
      </c>
      <c r="F37" s="26">
        <v>9</v>
      </c>
      <c r="G37" s="3">
        <f t="shared" si="0"/>
        <v>1.3333333333333335</v>
      </c>
    </row>
    <row r="38" spans="1:7" ht="12.75">
      <c r="A38" t="s">
        <v>10</v>
      </c>
      <c r="B38" s="9"/>
      <c r="C38" s="29">
        <v>0</v>
      </c>
      <c r="D38" s="30">
        <f t="shared" si="1"/>
        <v>0</v>
      </c>
      <c r="E38" s="26"/>
      <c r="F38" s="26">
        <v>15</v>
      </c>
      <c r="G38" s="3">
        <f t="shared" si="0"/>
        <v>0</v>
      </c>
    </row>
    <row r="39" spans="1:7" ht="12.75">
      <c r="A39" t="s">
        <v>11</v>
      </c>
      <c r="B39" s="9"/>
      <c r="C39" s="29">
        <v>0.1</v>
      </c>
      <c r="D39" s="30">
        <f t="shared" si="1"/>
        <v>-0.1</v>
      </c>
      <c r="E39" s="26"/>
      <c r="F39" s="26">
        <v>15</v>
      </c>
      <c r="G39" s="3">
        <f t="shared" si="0"/>
        <v>0</v>
      </c>
    </row>
    <row r="40" spans="1:7" ht="12.75">
      <c r="A40" t="s">
        <v>12</v>
      </c>
      <c r="B40" s="9"/>
      <c r="C40" s="29">
        <v>-0.2</v>
      </c>
      <c r="D40" s="30">
        <f t="shared" si="1"/>
        <v>0.2</v>
      </c>
      <c r="E40" s="26"/>
      <c r="F40" s="26">
        <v>12</v>
      </c>
      <c r="G40" s="3">
        <f t="shared" si="0"/>
        <v>0</v>
      </c>
    </row>
    <row r="41" spans="1:7" ht="12.75">
      <c r="A41" t="s">
        <v>13</v>
      </c>
      <c r="B41" s="9"/>
      <c r="C41" s="29">
        <v>0.15</v>
      </c>
      <c r="D41" s="30">
        <f t="shared" si="1"/>
        <v>-0.15</v>
      </c>
      <c r="E41" s="26"/>
      <c r="F41" s="26">
        <v>15</v>
      </c>
      <c r="G41" s="3">
        <f t="shared" si="0"/>
        <v>0</v>
      </c>
    </row>
    <row r="42" spans="1:7" ht="12.75">
      <c r="A42" t="s">
        <v>14</v>
      </c>
      <c r="B42" s="9"/>
      <c r="C42" s="29">
        <v>0</v>
      </c>
      <c r="D42" s="30">
        <f t="shared" si="1"/>
        <v>0</v>
      </c>
      <c r="E42" s="26"/>
      <c r="F42" s="26">
        <v>9</v>
      </c>
      <c r="G42" s="3">
        <f t="shared" si="0"/>
        <v>0</v>
      </c>
    </row>
    <row r="43" spans="5:9" ht="15">
      <c r="E43" s="43" t="s">
        <v>42</v>
      </c>
      <c r="H43" s="45">
        <f>SUM(G36:G42)</f>
        <v>2.3333333333333335</v>
      </c>
      <c r="I43" t="s">
        <v>17</v>
      </c>
    </row>
    <row r="44" spans="5:9" ht="15">
      <c r="E44" s="43" t="s">
        <v>43</v>
      </c>
      <c r="H44" s="26">
        <v>4</v>
      </c>
      <c r="I44" t="s">
        <v>17</v>
      </c>
    </row>
    <row r="45" spans="5:9" ht="15">
      <c r="E45" s="43" t="s">
        <v>44</v>
      </c>
      <c r="H45" s="26">
        <v>1.2</v>
      </c>
      <c r="I45" t="s">
        <v>17</v>
      </c>
    </row>
    <row r="47" spans="1:9" ht="13.5" thickBot="1">
      <c r="A47" s="10" t="s">
        <v>34</v>
      </c>
      <c r="B47" s="10"/>
      <c r="C47" s="21">
        <f>SUM(B36:B42)*2</f>
        <v>200</v>
      </c>
      <c r="D47" s="10" t="s">
        <v>15</v>
      </c>
      <c r="G47" s="35" t="s">
        <v>35</v>
      </c>
      <c r="H47" s="46">
        <f>+H45+H44+H43</f>
        <v>7.533333333333333</v>
      </c>
      <c r="I47" t="s">
        <v>17</v>
      </c>
    </row>
    <row r="48" spans="1:4" ht="13.5" thickTop="1">
      <c r="A48" s="10"/>
      <c r="B48" s="10"/>
      <c r="C48" s="10"/>
      <c r="D48" s="10"/>
    </row>
    <row r="49" spans="3:8" ht="15">
      <c r="C49" s="36"/>
      <c r="D49" s="42">
        <f>F28/H47*60</f>
        <v>47.30973451327434</v>
      </c>
      <c r="E49" s="10" t="s">
        <v>54</v>
      </c>
      <c r="G49" s="42">
        <f>H28/H47*60</f>
        <v>52.16814159292035</v>
      </c>
      <c r="H49" s="10" t="s">
        <v>45</v>
      </c>
    </row>
    <row r="50" spans="3:8" ht="15">
      <c r="C50" s="36"/>
      <c r="E50" s="10"/>
      <c r="H50" s="10"/>
    </row>
    <row r="51" ht="15.75">
      <c r="A51" s="28" t="s">
        <v>46</v>
      </c>
    </row>
    <row r="53" spans="1:9" ht="12.75">
      <c r="A53" t="s">
        <v>36</v>
      </c>
      <c r="D53" s="9">
        <v>8</v>
      </c>
      <c r="F53" t="s">
        <v>47</v>
      </c>
      <c r="I53" s="29">
        <v>0.9</v>
      </c>
    </row>
    <row r="54" spans="6:9" ht="12.75">
      <c r="F54" t="s">
        <v>18</v>
      </c>
      <c r="I54" s="30">
        <f>(D53-D55)/D53</f>
        <v>0.6875</v>
      </c>
    </row>
    <row r="55" spans="1:4" ht="12.75">
      <c r="A55" t="s">
        <v>37</v>
      </c>
      <c r="D55" s="9">
        <v>2.5</v>
      </c>
    </row>
    <row r="56" spans="1:9" ht="12.75">
      <c r="A56" t="s">
        <v>55</v>
      </c>
      <c r="F56" t="s">
        <v>38</v>
      </c>
      <c r="I56" s="30">
        <f>+I54*I53</f>
        <v>0.61875</v>
      </c>
    </row>
    <row r="57" ht="12.75">
      <c r="I57" s="47"/>
    </row>
    <row r="58" spans="1:4" ht="12.75">
      <c r="A58" t="s">
        <v>60</v>
      </c>
      <c r="D58" s="24">
        <f>ROUNDDOWN(+(D53-D55)*I53*60/H47,0)</f>
        <v>39</v>
      </c>
    </row>
    <row r="60" spans="3:8" ht="15">
      <c r="C60" s="36"/>
      <c r="D60" s="39">
        <f>+D58*F28</f>
        <v>231.66000000000003</v>
      </c>
      <c r="E60" s="10" t="s">
        <v>56</v>
      </c>
      <c r="G60" s="39">
        <f>+D58*H28</f>
        <v>255.45</v>
      </c>
      <c r="H60" s="10" t="s">
        <v>48</v>
      </c>
    </row>
  </sheetData>
  <mergeCells count="4">
    <mergeCell ref="C34:D34"/>
    <mergeCell ref="E34:F34"/>
    <mergeCell ref="A24:D25"/>
    <mergeCell ref="E8:J8"/>
  </mergeCells>
  <printOptions/>
  <pageMargins left="0.75" right="0.75" top="1" bottom="1" header="0.5" footer="0.5"/>
  <pageSetup cellComments="asDisplayed" fitToHeight="1" fitToWidth="1" horizontalDpi="600" verticalDpi="600" orientation="portrait" scale="80" r:id="rId2"/>
  <headerFooter alignWithMargins="0">
    <oddFooter>&amp;LFichier : &amp;F
Onglet : &amp;A
Page &amp;P de &amp;N&amp;CMine-laboratoire
Val-d'Or&amp;R&amp;D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NRCan-RNCan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Roger Lacroix</cp:lastModifiedBy>
  <cp:lastPrinted>2002-08-05T16:59:33Z</cp:lastPrinted>
  <dcterms:created xsi:type="dcterms:W3CDTF">2000-12-07T17:12:01Z</dcterms:created>
  <dcterms:modified xsi:type="dcterms:W3CDTF">2005-01-17T18:33:46Z</dcterms:modified>
  <cp:category/>
  <cp:version/>
  <cp:contentType/>
  <cp:contentStatus/>
</cp:coreProperties>
</file>