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521" windowWidth="10575" windowHeight="8715" activeTab="0"/>
  </bookViews>
  <sheets>
    <sheet name="Scooptram and truck" sheetId="1" r:id="rId1"/>
    <sheet name="Reference" sheetId="2" r:id="rId2"/>
  </sheets>
  <definedNames>
    <definedName name="_xlnm.Print_Area" localSheetId="0">'Scooptram and truck'!$A$1:$L$127</definedName>
  </definedNames>
  <calcPr fullCalcOnLoad="1"/>
</workbook>
</file>

<file path=xl/comments1.xml><?xml version="1.0" encoding="utf-8"?>
<comments xmlns="http://schemas.openxmlformats.org/spreadsheetml/2006/main">
  <authors>
    <author>rolacroi</author>
  </authors>
  <commentList>
    <comment ref="H67" authorId="0">
      <text>
        <r>
          <rPr>
            <b/>
            <sz val="10"/>
            <rFont val="Arial"/>
            <family val="2"/>
          </rPr>
          <t>See "Reference" sheet to compare the cycle time</t>
        </r>
      </text>
    </comment>
  </commentList>
</comments>
</file>

<file path=xl/sharedStrings.xml><?xml version="1.0" encoding="utf-8"?>
<sst xmlns="http://schemas.openxmlformats.org/spreadsheetml/2006/main" count="207" uniqueCount="129">
  <si>
    <t>kg</t>
  </si>
  <si>
    <t>m³</t>
  </si>
  <si>
    <t>kg/m³</t>
  </si>
  <si>
    <t>m³  =&gt;</t>
  </si>
  <si>
    <t xml:space="preserve"> Segment 1</t>
  </si>
  <si>
    <t xml:space="preserve"> Segment 2</t>
  </si>
  <si>
    <t xml:space="preserve"> Segment 3</t>
  </si>
  <si>
    <t xml:space="preserve"> Segment 4</t>
  </si>
  <si>
    <t xml:space="preserve"> Segment 5</t>
  </si>
  <si>
    <t xml:space="preserve"> Segment 6</t>
  </si>
  <si>
    <t xml:space="preserve"> Segment 7</t>
  </si>
  <si>
    <t>m</t>
  </si>
  <si>
    <t>(minutes)</t>
  </si>
  <si>
    <t>min</t>
  </si>
  <si>
    <t xml:space="preserve"> =</t>
  </si>
  <si>
    <t>MT-413</t>
  </si>
  <si>
    <t>MT-416</t>
  </si>
  <si>
    <t>MT-420</t>
  </si>
  <si>
    <t>MT-422</t>
  </si>
  <si>
    <t>MT-426</t>
  </si>
  <si>
    <t>MT-433</t>
  </si>
  <si>
    <t>MT-439</t>
  </si>
  <si>
    <t>MT-F28</t>
  </si>
  <si>
    <t>x</t>
  </si>
  <si>
    <t>yd³</t>
  </si>
  <si>
    <t xml:space="preserve"> 100% = excellent,  95% = average,  90% = difficult</t>
  </si>
  <si>
    <t>yd³  =&gt;</t>
  </si>
  <si>
    <t>TRUCK</t>
  </si>
  <si>
    <t>SCOOPTRAM</t>
  </si>
  <si>
    <t>Trucks</t>
  </si>
  <si>
    <t>feet</t>
  </si>
  <si>
    <t>excellent</t>
  </si>
  <si>
    <t>average</t>
  </si>
  <si>
    <t>DEPENDING ON SCOOPTRAM AND TRUCK SELECTION</t>
  </si>
  <si>
    <t>Tramming capacity of the truck</t>
  </si>
  <si>
    <t>Bulk material density</t>
  </si>
  <si>
    <t>Heaped capacity of the bucket</t>
  </si>
  <si>
    <t>1.0 - Tramming capacity depending on the type of material and truck</t>
  </si>
  <si>
    <t>Capacity</t>
  </si>
  <si>
    <t>Hauled load</t>
  </si>
  <si>
    <t>Calculation of maximum box capacity depending on the type of material and truck</t>
  </si>
  <si>
    <t>Manufacturer's increment of box capacity</t>
  </si>
  <si>
    <t>Ideal box size according to the manufacturer</t>
  </si>
  <si>
    <t>Tramming capacity per truck</t>
  </si>
  <si>
    <t>metric tonnes</t>
  </si>
  <si>
    <t>short tons</t>
  </si>
  <si>
    <t>2.0 -  Scooptram selection depending on the loading time of the truck</t>
  </si>
  <si>
    <t>TRAMMING CAPACITY FOR RAMP AND DRIFT EXCAVATION</t>
  </si>
  <si>
    <t>The scooptram selection is mainly influenced by the drift dimensions, the configuration of the loading area</t>
  </si>
  <si>
    <t>Number of buckets per truck</t>
  </si>
  <si>
    <t>buckets/truck</t>
  </si>
  <si>
    <t>Bucket capacity</t>
  </si>
  <si>
    <t>Time required per bucket</t>
  </si>
  <si>
    <t>Length</t>
  </si>
  <si>
    <t>(m)</t>
  </si>
  <si>
    <t>Haul</t>
  </si>
  <si>
    <t>Return</t>
  </si>
  <si>
    <t>Speed (km/hr)</t>
  </si>
  <si>
    <t>Time</t>
  </si>
  <si>
    <t>Tramming time</t>
  </si>
  <si>
    <t>Loading time</t>
  </si>
  <si>
    <t>Dumping time in the truck</t>
  </si>
  <si>
    <t>Total travelled distance</t>
  </si>
  <si>
    <t>Total time per bucket</t>
  </si>
  <si>
    <t>min/bucket</t>
  </si>
  <si>
    <t>min/truck</t>
  </si>
  <si>
    <t>Positioning time of the truck for loading</t>
  </si>
  <si>
    <t>Loading time per truck</t>
  </si>
  <si>
    <t xml:space="preserve">Total loading time per truck  </t>
  </si>
  <si>
    <t>Dumping time</t>
  </si>
  <si>
    <t>Total time per cycle</t>
  </si>
  <si>
    <t>Average tonnnage per advance</t>
  </si>
  <si>
    <t xml:space="preserve">Number of truckloads per advance </t>
  </si>
  <si>
    <t xml:space="preserve">Time required to clean the face with one truck </t>
  </si>
  <si>
    <t>truckloads</t>
  </si>
  <si>
    <t>hours</t>
  </si>
  <si>
    <t>5.0 -  Calculation of the number of trucks in relation to the allocated time with one scooptram</t>
  </si>
  <si>
    <t>Maximum time allocated to clean the face</t>
  </si>
  <si>
    <t>Maximum capacity of the scooptram during the cycle time  =&gt;</t>
  </si>
  <si>
    <t>Number of possible cycles with one truck</t>
  </si>
  <si>
    <t>Number of required trucks</t>
  </si>
  <si>
    <t>required trucks</t>
  </si>
  <si>
    <t>Verification of the scooptram-truck system</t>
  </si>
  <si>
    <t>2 - Truck use</t>
  </si>
  <si>
    <t xml:space="preserve">Therefore, the system includes: </t>
  </si>
  <si>
    <t>The scooptram is being used at:</t>
  </si>
  <si>
    <t>SPEED (KM/HR)</t>
  </si>
  <si>
    <t>Maximum speed while going up and speed considered safe while going down</t>
  </si>
  <si>
    <t>Flat</t>
  </si>
  <si>
    <t>Maximum</t>
  </si>
  <si>
    <t>speed</t>
  </si>
  <si>
    <t xml:space="preserve">Capacity </t>
  </si>
  <si>
    <t>lb</t>
  </si>
  <si>
    <t>lb/yd³</t>
  </si>
  <si>
    <t>Fill factor of the bucket</t>
  </si>
  <si>
    <t>Fill factor of the truck</t>
  </si>
  <si>
    <t>Verification of tramming capacity depending on the type of box and the density of material to be hauled</t>
  </si>
  <si>
    <t>Therefore, your choice of truck box is:</t>
  </si>
  <si>
    <t>Slope (%)</t>
  </si>
  <si>
    <t>Your choice of bucket is:</t>
  </si>
  <si>
    <t>3.0 - Calculation of the cycle time per truck</t>
  </si>
  <si>
    <t xml:space="preserve">or </t>
  </si>
  <si>
    <t>4.0 -  Calculation of the time required to clean one face with one truck</t>
  </si>
  <si>
    <t>Ref:  Wagner Equipment Co., Technical Manual Equipment Features and Application Data</t>
  </si>
  <si>
    <t>MT</t>
  </si>
  <si>
    <t>ST</t>
  </si>
  <si>
    <t>Distance</t>
  </si>
  <si>
    <t xml:space="preserve">Cycle time (min) </t>
  </si>
  <si>
    <t>meters</t>
  </si>
  <si>
    <t>depending on the following conditions</t>
  </si>
  <si>
    <t>1 - Total waiting time of the scooptram</t>
  </si>
  <si>
    <t>The trucks are being used at:</t>
  </si>
  <si>
    <t>severe</t>
  </si>
  <si>
    <t xml:space="preserve">   and return to the loading point.</t>
  </si>
  <si>
    <t>Note : The cycle time at distance 0 represents the load-dump maneuvers</t>
  </si>
  <si>
    <t>relation to the distance and working conditions</t>
  </si>
  <si>
    <t>(loading on the side or the back of the truck) and the truck. The ideal scooptram generally allows to load</t>
  </si>
  <si>
    <t>the truck box with three buckets.</t>
  </si>
  <si>
    <t>In general, the truck is the largest equipment circulating in the ramp.  Therefore, the drift dimensions are</t>
  </si>
  <si>
    <t>determined by the type of truck.</t>
  </si>
  <si>
    <t>minutes</t>
  </si>
  <si>
    <t>Load</t>
  </si>
  <si>
    <t>Up</t>
  </si>
  <si>
    <t>Empty</t>
  </si>
  <si>
    <t>Down</t>
  </si>
  <si>
    <t>Half-heaped box capacity</t>
  </si>
  <si>
    <t>possible cycles of the first truck in relation to the allocated time</t>
  </si>
  <si>
    <t>Cycle time per bucket when loading a truck in</t>
  </si>
  <si>
    <t>Version:  January 17,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</si>
</sst>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0000"/>
    <numFmt numFmtId="171" formatCode="0.000000000"/>
    <numFmt numFmtId="172" formatCode="0.0000000000"/>
    <numFmt numFmtId="173" formatCode="0.00000000000"/>
  </numFmts>
  <fonts count="19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sz val="9.75"/>
      <name val="Arial"/>
      <family val="0"/>
    </font>
    <font>
      <b/>
      <sz val="10"/>
      <name val="Arial Black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.75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5" fillId="4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16" fontId="0" fillId="0" borderId="0" xfId="0" applyNumberFormat="1" applyAlignment="1">
      <alignment/>
    </xf>
    <xf numFmtId="166" fontId="0" fillId="3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0" fontId="4" fillId="0" borderId="0" xfId="0" applyFont="1" applyAlignment="1">
      <alignment/>
    </xf>
    <xf numFmtId="9" fontId="0" fillId="3" borderId="1" xfId="19" applyFill="1" applyBorder="1" applyAlignment="1">
      <alignment/>
    </xf>
    <xf numFmtId="9" fontId="0" fillId="2" borderId="1" xfId="19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0" fillId="2" borderId="1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0" fillId="2" borderId="12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166" fontId="2" fillId="0" borderId="0" xfId="0" applyNumberFormat="1" applyFont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0" xfId="0" applyAlignment="1">
      <alignment horizontal="left" indent="3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3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66" fontId="15" fillId="0" borderId="17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66" fontId="15" fillId="0" borderId="10" xfId="0" applyNumberFormat="1" applyFont="1" applyBorder="1" applyAlignment="1">
      <alignment horizontal="center"/>
    </xf>
    <xf numFmtId="166" fontId="15" fillId="0" borderId="18" xfId="0" applyNumberFormat="1" applyFont="1" applyBorder="1" applyAlignment="1">
      <alignment horizontal="center"/>
    </xf>
    <xf numFmtId="166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6" fontId="15" fillId="0" borderId="20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166" fontId="15" fillId="0" borderId="23" xfId="0" applyNumberFormat="1" applyFont="1" applyBorder="1" applyAlignment="1">
      <alignment horizontal="center"/>
    </xf>
    <xf numFmtId="166" fontId="15" fillId="0" borderId="22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9" fontId="2" fillId="0" borderId="29" xfId="0" applyNumberFormat="1" applyFon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12" fillId="0" borderId="3" xfId="0" applyFont="1" applyBorder="1" applyAlignment="1">
      <alignment/>
    </xf>
    <xf numFmtId="0" fontId="0" fillId="0" borderId="2" xfId="0" applyBorder="1" applyAlignment="1">
      <alignment/>
    </xf>
    <xf numFmtId="166" fontId="2" fillId="0" borderId="11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6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2"/>
    </xf>
    <xf numFmtId="1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1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4"/>
    </xf>
    <xf numFmtId="0" fontId="7" fillId="4" borderId="34" xfId="0" applyFont="1" applyFill="1" applyBorder="1" applyAlignment="1">
      <alignment/>
    </xf>
    <xf numFmtId="0" fontId="7" fillId="4" borderId="35" xfId="0" applyFont="1" applyFill="1" applyBorder="1" applyAlignment="1">
      <alignment/>
    </xf>
    <xf numFmtId="0" fontId="7" fillId="4" borderId="36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7" fillId="0" borderId="0" xfId="0" applyFont="1" applyAlignment="1">
      <alignment horizontal="left" indent="2"/>
    </xf>
    <xf numFmtId="0" fontId="0" fillId="0" borderId="0" xfId="0" applyAlignment="1">
      <alignment horizontal="left" indent="4"/>
    </xf>
    <xf numFmtId="0" fontId="0" fillId="0" borderId="37" xfId="0" applyBorder="1" applyAlignment="1">
      <alignment horizontal="center"/>
    </xf>
    <xf numFmtId="166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0" borderId="0" xfId="0" applyAlignment="1">
      <alignment horizontal="left"/>
    </xf>
    <xf numFmtId="2" fontId="0" fillId="2" borderId="1" xfId="0" applyNumberFormat="1" applyFill="1" applyBorder="1" applyAlignment="1">
      <alignment horizontal="right"/>
    </xf>
    <xf numFmtId="0" fontId="0" fillId="0" borderId="38" xfId="0" applyBorder="1" applyAlignment="1">
      <alignment/>
    </xf>
    <xf numFmtId="166" fontId="3" fillId="2" borderId="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166" fontId="2" fillId="2" borderId="1" xfId="0" applyNumberFormat="1" applyFont="1" applyFill="1" applyBorder="1" applyAlignment="1">
      <alignment/>
    </xf>
    <xf numFmtId="9" fontId="2" fillId="2" borderId="1" xfId="19" applyFont="1" applyFill="1" applyBorder="1" applyAlignment="1">
      <alignment/>
    </xf>
    <xf numFmtId="0" fontId="2" fillId="0" borderId="0" xfId="0" applyFont="1" applyAlignment="1">
      <alignment horizontal="left" indent="7"/>
    </xf>
    <xf numFmtId="2" fontId="3" fillId="2" borderId="3" xfId="0" applyNumberFormat="1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4" borderId="7" xfId="0" applyFont="1" applyFill="1" applyBorder="1" applyAlignment="1">
      <alignment/>
    </xf>
    <xf numFmtId="0" fontId="16" fillId="4" borderId="8" xfId="0" applyFont="1" applyFill="1" applyBorder="1" applyAlignment="1">
      <alignment/>
    </xf>
    <xf numFmtId="0" fontId="16" fillId="4" borderId="9" xfId="0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0" fillId="4" borderId="13" xfId="0" applyFill="1" applyBorder="1" applyAlignment="1">
      <alignment/>
    </xf>
    <xf numFmtId="0" fontId="2" fillId="0" borderId="39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3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Cycle time vs distance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945"/>
          <c:w val="0.89975"/>
          <c:h val="0.77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Reference!$C$6</c:f>
              <c:strCache>
                <c:ptCount val="1"/>
                <c:pt idx="0">
                  <c:v>excellent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Reference!$B$7:$B$13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Reference!$C$7:$C$13</c:f>
              <c:numCache>
                <c:ptCount val="7"/>
                <c:pt idx="0">
                  <c:v>0.81</c:v>
                </c:pt>
                <c:pt idx="1">
                  <c:v>1.33</c:v>
                </c:pt>
                <c:pt idx="2">
                  <c:v>1.57</c:v>
                </c:pt>
                <c:pt idx="3">
                  <c:v>1.7</c:v>
                </c:pt>
                <c:pt idx="4">
                  <c:v>1.75</c:v>
                </c:pt>
                <c:pt idx="5">
                  <c:v>1.8</c:v>
                </c:pt>
                <c:pt idx="6">
                  <c:v>1.8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Reference!$D$6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Reference!$B$7:$B$13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Reference!$D$7:$D$13</c:f>
              <c:numCache>
                <c:ptCount val="7"/>
                <c:pt idx="0">
                  <c:v>1.11</c:v>
                </c:pt>
                <c:pt idx="1">
                  <c:v>1.59</c:v>
                </c:pt>
                <c:pt idx="2">
                  <c:v>1.87</c:v>
                </c:pt>
                <c:pt idx="3">
                  <c:v>2.07</c:v>
                </c:pt>
                <c:pt idx="4">
                  <c:v>2.19</c:v>
                </c:pt>
                <c:pt idx="5">
                  <c:v>2.26</c:v>
                </c:pt>
                <c:pt idx="6">
                  <c:v>2.27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Reference!$E$6</c:f>
              <c:strCache>
                <c:ptCount val="1"/>
                <c:pt idx="0">
                  <c:v>severe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Reference!$B$7:$B$13</c:f>
              <c:numCache>
                <c:ptCount val="7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</c:numCache>
            </c:numRef>
          </c:xVal>
          <c:yVal>
            <c:numRef>
              <c:f>Reference!$E$7:$E$13</c:f>
              <c:numCache>
                <c:ptCount val="7"/>
                <c:pt idx="0">
                  <c:v>1.35</c:v>
                </c:pt>
                <c:pt idx="1">
                  <c:v>1.9</c:v>
                </c:pt>
                <c:pt idx="2">
                  <c:v>2.29</c:v>
                </c:pt>
                <c:pt idx="3">
                  <c:v>2.51</c:v>
                </c:pt>
                <c:pt idx="4">
                  <c:v>2.71</c:v>
                </c:pt>
                <c:pt idx="5">
                  <c:v>2.83</c:v>
                </c:pt>
                <c:pt idx="6">
                  <c:v>2.9</c:v>
                </c:pt>
              </c:numCache>
            </c:numRef>
          </c:yVal>
          <c:smooth val="1"/>
        </c:ser>
        <c:axId val="26831973"/>
        <c:axId val="40161166"/>
      </c:scatterChart>
      <c:scatterChart>
        <c:scatterStyle val="lineMarker"/>
        <c:varyColors val="0"/>
        <c:ser>
          <c:idx val="3"/>
          <c:order val="3"/>
          <c:tx>
            <c:strRef>
              <c:f>Reference!$C$6</c:f>
              <c:strCache>
                <c:ptCount val="1"/>
                <c:pt idx="0">
                  <c:v>excellent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dLblPos val="b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Reference!$A$7:$A$13</c:f>
              <c:numCache>
                <c:ptCount val="7"/>
                <c:pt idx="0">
                  <c:v>0</c:v>
                </c:pt>
                <c:pt idx="1">
                  <c:v>15.24390243902439</c:v>
                </c:pt>
                <c:pt idx="2">
                  <c:v>30.48780487804878</c:v>
                </c:pt>
                <c:pt idx="3">
                  <c:v>45.73170731707317</c:v>
                </c:pt>
                <c:pt idx="4">
                  <c:v>60.97560975609756</c:v>
                </c:pt>
                <c:pt idx="5">
                  <c:v>76.21951219512195</c:v>
                </c:pt>
                <c:pt idx="6">
                  <c:v>91.46341463414635</c:v>
                </c:pt>
              </c:numCache>
            </c:numRef>
          </c:xVal>
          <c:yVal>
            <c:numRef>
              <c:f>Reference!$C$7:$C$13</c:f>
              <c:numCache>
                <c:ptCount val="7"/>
                <c:pt idx="0">
                  <c:v>0.81</c:v>
                </c:pt>
                <c:pt idx="1">
                  <c:v>1.33</c:v>
                </c:pt>
                <c:pt idx="2">
                  <c:v>1.57</c:v>
                </c:pt>
                <c:pt idx="3">
                  <c:v>1.7</c:v>
                </c:pt>
                <c:pt idx="4">
                  <c:v>1.75</c:v>
                </c:pt>
                <c:pt idx="5">
                  <c:v>1.8</c:v>
                </c:pt>
                <c:pt idx="6">
                  <c:v>1.8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Reference!$D$6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average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Reference!$A$7:$A$13</c:f>
              <c:numCache>
                <c:ptCount val="7"/>
                <c:pt idx="0">
                  <c:v>0</c:v>
                </c:pt>
                <c:pt idx="1">
                  <c:v>15.24390243902439</c:v>
                </c:pt>
                <c:pt idx="2">
                  <c:v>30.48780487804878</c:v>
                </c:pt>
                <c:pt idx="3">
                  <c:v>45.73170731707317</c:v>
                </c:pt>
                <c:pt idx="4">
                  <c:v>60.97560975609756</c:v>
                </c:pt>
                <c:pt idx="5">
                  <c:v>76.21951219512195</c:v>
                </c:pt>
                <c:pt idx="6">
                  <c:v>91.46341463414635</c:v>
                </c:pt>
              </c:numCache>
            </c:numRef>
          </c:xVal>
          <c:yVal>
            <c:numRef>
              <c:f>Reference!$D$7:$D$13</c:f>
              <c:numCache>
                <c:ptCount val="7"/>
                <c:pt idx="0">
                  <c:v>1.11</c:v>
                </c:pt>
                <c:pt idx="1">
                  <c:v>1.59</c:v>
                </c:pt>
                <c:pt idx="2">
                  <c:v>1.87</c:v>
                </c:pt>
                <c:pt idx="3">
                  <c:v>2.07</c:v>
                </c:pt>
                <c:pt idx="4">
                  <c:v>2.19</c:v>
                </c:pt>
                <c:pt idx="5">
                  <c:v>2.26</c:v>
                </c:pt>
                <c:pt idx="6">
                  <c:v>2.27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Reference!$E$6</c:f>
              <c:strCache>
                <c:ptCount val="1"/>
                <c:pt idx="0">
                  <c:v>severe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severe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Reference!$A$7:$A$13</c:f>
              <c:numCache>
                <c:ptCount val="7"/>
                <c:pt idx="0">
                  <c:v>0</c:v>
                </c:pt>
                <c:pt idx="1">
                  <c:v>15.24390243902439</c:v>
                </c:pt>
                <c:pt idx="2">
                  <c:v>30.48780487804878</c:v>
                </c:pt>
                <c:pt idx="3">
                  <c:v>45.73170731707317</c:v>
                </c:pt>
                <c:pt idx="4">
                  <c:v>60.97560975609756</c:v>
                </c:pt>
                <c:pt idx="5">
                  <c:v>76.21951219512195</c:v>
                </c:pt>
                <c:pt idx="6">
                  <c:v>91.46341463414635</c:v>
                </c:pt>
              </c:numCache>
            </c:numRef>
          </c:xVal>
          <c:yVal>
            <c:numRef>
              <c:f>Reference!$E$7:$E$13</c:f>
              <c:numCache>
                <c:ptCount val="7"/>
                <c:pt idx="0">
                  <c:v>1.35</c:v>
                </c:pt>
                <c:pt idx="1">
                  <c:v>1.9</c:v>
                </c:pt>
                <c:pt idx="2">
                  <c:v>2.29</c:v>
                </c:pt>
                <c:pt idx="3">
                  <c:v>2.51</c:v>
                </c:pt>
                <c:pt idx="4">
                  <c:v>2.71</c:v>
                </c:pt>
                <c:pt idx="5">
                  <c:v>2.83</c:v>
                </c:pt>
                <c:pt idx="6">
                  <c:v>2.9</c:v>
                </c:pt>
              </c:numCache>
            </c:numRef>
          </c:yVal>
          <c:smooth val="1"/>
        </c:ser>
        <c:axId val="25906175"/>
        <c:axId val="31828984"/>
      </c:scatterChart>
      <c:valAx>
        <c:axId val="268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40161166"/>
        <c:crosses val="autoZero"/>
        <c:crossBetween val="midCat"/>
        <c:dispUnits/>
        <c:majorUnit val="50"/>
        <c:minorUnit val="25"/>
      </c:valAx>
      <c:valAx>
        <c:axId val="4016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crossAx val="26831973"/>
        <c:crosses val="autoZero"/>
        <c:crossBetween val="midCat"/>
        <c:dispUnits/>
        <c:majorUnit val="0.25"/>
      </c:valAx>
      <c:valAx>
        <c:axId val="25906175"/>
        <c:scaling>
          <c:orientation val="minMax"/>
          <c:max val="107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31828984"/>
        <c:crosses val="max"/>
        <c:crossBetween val="midCat"/>
        <c:dispUnits/>
        <c:majorUnit val="10"/>
        <c:minorUnit val="5"/>
      </c:valAx>
      <c:valAx>
        <c:axId val="31828984"/>
        <c:scaling>
          <c:orientation val="minMax"/>
        </c:scaling>
        <c:axPos val="l"/>
        <c:delete val="1"/>
        <c:majorTickMark val="in"/>
        <c:minorTickMark val="none"/>
        <c:tickLblPos val="nextTo"/>
        <c:crossAx val="259061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18</xdr:row>
      <xdr:rowOff>104775</xdr:rowOff>
    </xdr:from>
    <xdr:to>
      <xdr:col>5</xdr:col>
      <xdr:colOff>523875</xdr:colOff>
      <xdr:row>18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3752850" y="3257550"/>
          <a:ext cx="4381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27</xdr:row>
      <xdr:rowOff>104775</xdr:rowOff>
    </xdr:from>
    <xdr:to>
      <xdr:col>5</xdr:col>
      <xdr:colOff>561975</xdr:colOff>
      <xdr:row>27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4048125" y="4724400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27</xdr:row>
      <xdr:rowOff>104775</xdr:rowOff>
    </xdr:from>
    <xdr:to>
      <xdr:col>5</xdr:col>
      <xdr:colOff>581025</xdr:colOff>
      <xdr:row>28</xdr:row>
      <xdr:rowOff>161925</xdr:rowOff>
    </xdr:to>
    <xdr:sp>
      <xdr:nvSpPr>
        <xdr:cNvPr id="3" name="Line 6"/>
        <xdr:cNvSpPr>
          <a:spLocks/>
        </xdr:cNvSpPr>
      </xdr:nvSpPr>
      <xdr:spPr>
        <a:xfrm>
          <a:off x="4038600" y="4724400"/>
          <a:ext cx="209550" cy="2190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55</xdr:row>
      <xdr:rowOff>0</xdr:rowOff>
    </xdr:from>
    <xdr:to>
      <xdr:col>11</xdr:col>
      <xdr:colOff>704850</xdr:colOff>
      <xdr:row>58</xdr:row>
      <xdr:rowOff>95250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276850" y="9439275"/>
          <a:ext cx="3209925" cy="609600"/>
        </a:xfrm>
        <a:prstGeom prst="rect">
          <a:avLst/>
        </a:prstGeom>
        <a:solidFill>
          <a:srgbClr val="00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It is important to take into account the performance curves of the selected scooptram in relation to your working conditions</a:t>
          </a:r>
        </a:p>
      </xdr:txBody>
    </xdr:sp>
    <xdr:clientData/>
  </xdr:twoCellAnchor>
  <xdr:twoCellAnchor>
    <xdr:from>
      <xdr:col>4</xdr:col>
      <xdr:colOff>409575</xdr:colOff>
      <xdr:row>44</xdr:row>
      <xdr:rowOff>104775</xdr:rowOff>
    </xdr:from>
    <xdr:to>
      <xdr:col>4</xdr:col>
      <xdr:colOff>590550</xdr:colOff>
      <xdr:row>44</xdr:row>
      <xdr:rowOff>104775</xdr:rowOff>
    </xdr:to>
    <xdr:sp>
      <xdr:nvSpPr>
        <xdr:cNvPr id="5" name="Line 47"/>
        <xdr:cNvSpPr>
          <a:spLocks/>
        </xdr:cNvSpPr>
      </xdr:nvSpPr>
      <xdr:spPr>
        <a:xfrm>
          <a:off x="3438525" y="7677150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44</xdr:row>
      <xdr:rowOff>104775</xdr:rowOff>
    </xdr:from>
    <xdr:to>
      <xdr:col>4</xdr:col>
      <xdr:colOff>619125</xdr:colOff>
      <xdr:row>46</xdr:row>
      <xdr:rowOff>0</xdr:rowOff>
    </xdr:to>
    <xdr:sp>
      <xdr:nvSpPr>
        <xdr:cNvPr id="6" name="Line 48"/>
        <xdr:cNvSpPr>
          <a:spLocks/>
        </xdr:cNvSpPr>
      </xdr:nvSpPr>
      <xdr:spPr>
        <a:xfrm>
          <a:off x="3429000" y="7677150"/>
          <a:ext cx="219075" cy="2190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48</xdr:row>
      <xdr:rowOff>85725</xdr:rowOff>
    </xdr:from>
    <xdr:to>
      <xdr:col>6</xdr:col>
      <xdr:colOff>409575</xdr:colOff>
      <xdr:row>48</xdr:row>
      <xdr:rowOff>85725</xdr:rowOff>
    </xdr:to>
    <xdr:sp>
      <xdr:nvSpPr>
        <xdr:cNvPr id="7" name="Line 79"/>
        <xdr:cNvSpPr>
          <a:spLocks/>
        </xdr:cNvSpPr>
      </xdr:nvSpPr>
      <xdr:spPr>
        <a:xfrm>
          <a:off x="4572000" y="8305800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94</xdr:row>
      <xdr:rowOff>85725</xdr:rowOff>
    </xdr:from>
    <xdr:to>
      <xdr:col>5</xdr:col>
      <xdr:colOff>409575</xdr:colOff>
      <xdr:row>94</xdr:row>
      <xdr:rowOff>85725</xdr:rowOff>
    </xdr:to>
    <xdr:sp>
      <xdr:nvSpPr>
        <xdr:cNvPr id="8" name="Line 81"/>
        <xdr:cNvSpPr>
          <a:spLocks/>
        </xdr:cNvSpPr>
      </xdr:nvSpPr>
      <xdr:spPr>
        <a:xfrm>
          <a:off x="3895725" y="16192500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75</xdr:row>
      <xdr:rowOff>133350</xdr:rowOff>
    </xdr:from>
    <xdr:to>
      <xdr:col>11</xdr:col>
      <xdr:colOff>790575</xdr:colOff>
      <xdr:row>79</xdr:row>
      <xdr:rowOff>85725</xdr:rowOff>
    </xdr:to>
    <xdr:sp>
      <xdr:nvSpPr>
        <xdr:cNvPr id="9" name="TextBox 82"/>
        <xdr:cNvSpPr txBox="1">
          <a:spLocks noChangeArrowheads="1"/>
        </xdr:cNvSpPr>
      </xdr:nvSpPr>
      <xdr:spPr>
        <a:xfrm>
          <a:off x="5362575" y="13020675"/>
          <a:ext cx="3209925" cy="600075"/>
        </a:xfrm>
        <a:prstGeom prst="rect">
          <a:avLst/>
        </a:prstGeom>
        <a:solidFill>
          <a:srgbClr val="00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It is important to take into account the performance curves of the selected truck in relation to your working conditions</a:t>
          </a:r>
        </a:p>
      </xdr:txBody>
    </xdr:sp>
    <xdr:clientData/>
  </xdr:twoCellAnchor>
  <xdr:twoCellAnchor>
    <xdr:from>
      <xdr:col>5</xdr:col>
      <xdr:colOff>209550</xdr:colOff>
      <xdr:row>106</xdr:row>
      <xdr:rowOff>76200</xdr:rowOff>
    </xdr:from>
    <xdr:to>
      <xdr:col>5</xdr:col>
      <xdr:colOff>390525</xdr:colOff>
      <xdr:row>106</xdr:row>
      <xdr:rowOff>76200</xdr:rowOff>
    </xdr:to>
    <xdr:sp>
      <xdr:nvSpPr>
        <xdr:cNvPr id="10" name="Line 83"/>
        <xdr:cNvSpPr>
          <a:spLocks/>
        </xdr:cNvSpPr>
      </xdr:nvSpPr>
      <xdr:spPr>
        <a:xfrm>
          <a:off x="3876675" y="18240375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105</xdr:row>
      <xdr:rowOff>76200</xdr:rowOff>
    </xdr:from>
    <xdr:to>
      <xdr:col>5</xdr:col>
      <xdr:colOff>390525</xdr:colOff>
      <xdr:row>105</xdr:row>
      <xdr:rowOff>76200</xdr:rowOff>
    </xdr:to>
    <xdr:sp>
      <xdr:nvSpPr>
        <xdr:cNvPr id="11" name="Line 84"/>
        <xdr:cNvSpPr>
          <a:spLocks/>
        </xdr:cNvSpPr>
      </xdr:nvSpPr>
      <xdr:spPr>
        <a:xfrm>
          <a:off x="3876675" y="18078450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101</xdr:row>
      <xdr:rowOff>76200</xdr:rowOff>
    </xdr:from>
    <xdr:to>
      <xdr:col>5</xdr:col>
      <xdr:colOff>390525</xdr:colOff>
      <xdr:row>101</xdr:row>
      <xdr:rowOff>76200</xdr:rowOff>
    </xdr:to>
    <xdr:sp>
      <xdr:nvSpPr>
        <xdr:cNvPr id="12" name="Line 97"/>
        <xdr:cNvSpPr>
          <a:spLocks/>
        </xdr:cNvSpPr>
      </xdr:nvSpPr>
      <xdr:spPr>
        <a:xfrm>
          <a:off x="3876675" y="17392650"/>
          <a:ext cx="180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5</xdr:col>
      <xdr:colOff>733425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0" y="2247900"/>
        <a:ext cx="45434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8"/>
  <sheetViews>
    <sheetView tabSelected="1" zoomScale="75" zoomScaleNormal="75" workbookViewId="0" topLeftCell="A1">
      <selection activeCell="K16" sqref="K16"/>
    </sheetView>
  </sheetViews>
  <sheetFormatPr defaultColWidth="9.140625" defaultRowHeight="12.75"/>
  <cols>
    <col min="1" max="1" width="15.28125" style="0" customWidth="1"/>
    <col min="2" max="2" width="11.28125" style="0" customWidth="1"/>
    <col min="4" max="4" width="9.7109375" style="0" customWidth="1"/>
    <col min="5" max="5" width="9.57421875" style="0" customWidth="1"/>
    <col min="6" max="6" width="10.140625" style="0" customWidth="1"/>
    <col min="7" max="7" width="10.421875" style="0" customWidth="1"/>
    <col min="8" max="8" width="10.28125" style="0" customWidth="1"/>
    <col min="10" max="10" width="9.7109375" style="0" customWidth="1"/>
    <col min="11" max="11" width="12.00390625" style="0" customWidth="1"/>
    <col min="12" max="12" width="12.8515625" style="0" customWidth="1"/>
    <col min="16" max="16" width="10.7109375" style="0" customWidth="1"/>
    <col min="17" max="17" width="10.00390625" style="0" customWidth="1"/>
    <col min="18" max="18" width="11.00390625" style="0" customWidth="1"/>
    <col min="19" max="19" width="8.421875" style="0" customWidth="1"/>
    <col min="20" max="20" width="10.421875" style="0" customWidth="1"/>
    <col min="22" max="22" width="12.57421875" style="0" customWidth="1"/>
    <col min="23" max="23" width="9.8515625" style="0" customWidth="1"/>
    <col min="24" max="24" width="10.421875" style="0" customWidth="1"/>
    <col min="26" max="26" width="10.8515625" style="0" customWidth="1"/>
  </cols>
  <sheetData>
    <row r="2" ht="18">
      <c r="A2" s="1" t="s">
        <v>47</v>
      </c>
    </row>
    <row r="3" ht="18">
      <c r="A3" s="1" t="s">
        <v>33</v>
      </c>
    </row>
    <row r="4" spans="1:9" ht="18">
      <c r="A4" s="1"/>
      <c r="H4" s="15"/>
      <c r="I4" s="15" t="s">
        <v>128</v>
      </c>
    </row>
    <row r="5" ht="12.75">
      <c r="A5" s="10" t="s">
        <v>27</v>
      </c>
    </row>
    <row r="6" spans="1:7" ht="12.75">
      <c r="A6" s="38" t="s">
        <v>34</v>
      </c>
      <c r="D6" s="9">
        <v>22000</v>
      </c>
      <c r="E6" t="s">
        <v>0</v>
      </c>
      <c r="F6" s="8">
        <f>ROUND(+D6*2.205,-1)</f>
        <v>48510</v>
      </c>
      <c r="G6" t="s">
        <v>92</v>
      </c>
    </row>
    <row r="7" spans="1:7" ht="12.75">
      <c r="A7" s="38" t="s">
        <v>35</v>
      </c>
      <c r="D7" s="9">
        <v>2040</v>
      </c>
      <c r="E7" t="s">
        <v>2</v>
      </c>
      <c r="F7" s="8">
        <f>ROUND(+D7*2.205*0.7645,-1)</f>
        <v>3440</v>
      </c>
      <c r="G7" t="s">
        <v>93</v>
      </c>
    </row>
    <row r="8" spans="1:12" ht="12.75">
      <c r="A8" s="38" t="s">
        <v>95</v>
      </c>
      <c r="D8" s="26">
        <v>0.95</v>
      </c>
      <c r="H8" s="136" t="s">
        <v>25</v>
      </c>
      <c r="I8" s="140"/>
      <c r="J8" s="140"/>
      <c r="K8" s="140"/>
      <c r="L8" s="141"/>
    </row>
    <row r="9" spans="1:7" ht="12.75">
      <c r="A9" s="38" t="s">
        <v>125</v>
      </c>
      <c r="D9" s="109">
        <v>10</v>
      </c>
      <c r="E9" t="s">
        <v>1</v>
      </c>
      <c r="F9" s="3">
        <f>ROUND(D9/0.7645,3)</f>
        <v>13.08</v>
      </c>
      <c r="G9" t="s">
        <v>24</v>
      </c>
    </row>
    <row r="10" ht="12.75">
      <c r="A10" s="38"/>
    </row>
    <row r="11" spans="1:13" ht="12.75">
      <c r="A11" s="10" t="s">
        <v>28</v>
      </c>
      <c r="F11" s="15"/>
      <c r="M11" s="108"/>
    </row>
    <row r="12" spans="1:12" ht="12.75">
      <c r="A12" s="38" t="s">
        <v>94</v>
      </c>
      <c r="D12" s="26">
        <v>0.9</v>
      </c>
      <c r="H12" s="136" t="s">
        <v>25</v>
      </c>
      <c r="I12" s="137"/>
      <c r="J12" s="137"/>
      <c r="K12" s="137"/>
      <c r="L12" s="138"/>
    </row>
    <row r="13" spans="1:7" ht="12.75">
      <c r="A13" s="38" t="s">
        <v>36</v>
      </c>
      <c r="D13" s="9">
        <v>3.82</v>
      </c>
      <c r="E13" t="s">
        <v>1</v>
      </c>
      <c r="F13" s="3">
        <f>ROUND(D13/0.7645,3)</f>
        <v>4.997</v>
      </c>
      <c r="G13" t="s">
        <v>24</v>
      </c>
    </row>
    <row r="14" ht="12.75">
      <c r="A14" s="38"/>
    </row>
    <row r="15" ht="15.75">
      <c r="A15" s="25" t="s">
        <v>37</v>
      </c>
    </row>
    <row r="17" ht="12.75">
      <c r="A17" s="104" t="s">
        <v>96</v>
      </c>
    </row>
    <row r="18" spans="3:5" ht="12.75">
      <c r="C18" s="37" t="s">
        <v>38</v>
      </c>
      <c r="E18" s="37" t="s">
        <v>39</v>
      </c>
    </row>
    <row r="19" spans="3:9" ht="18">
      <c r="C19" s="8">
        <f>+D6</f>
        <v>22000</v>
      </c>
      <c r="D19" s="35" t="str">
        <f>IF(E19&lt;C19," &gt; "," &lt; ")</f>
        <v> &gt; </v>
      </c>
      <c r="E19" s="34">
        <f>+D7*D8*D9</f>
        <v>19380</v>
      </c>
      <c r="G19" s="7" t="str">
        <f>IF(E19&lt;C19," Right box selection","The box is too big")</f>
        <v> Right box selection</v>
      </c>
      <c r="H19" s="125"/>
      <c r="I19" s="6"/>
    </row>
    <row r="20" ht="8.25" customHeight="1"/>
    <row r="21" ht="12.75">
      <c r="B21" t="s">
        <v>40</v>
      </c>
    </row>
    <row r="22" spans="2:5" ht="12.75">
      <c r="B22" s="3">
        <f>+D6/D7/D12</f>
        <v>11.982570806100219</v>
      </c>
      <c r="C22" t="s">
        <v>1</v>
      </c>
      <c r="D22" s="3">
        <f>+B22/0.7645</f>
        <v>15.673735521386813</v>
      </c>
      <c r="E22" t="s">
        <v>24</v>
      </c>
    </row>
    <row r="23" spans="2:10" ht="12.75">
      <c r="B23" t="s">
        <v>41</v>
      </c>
      <c r="J23" s="15"/>
    </row>
    <row r="24" spans="1:5" ht="12.75">
      <c r="A24" s="22"/>
      <c r="B24" s="4">
        <v>0.5</v>
      </c>
      <c r="C24" t="s">
        <v>1</v>
      </c>
      <c r="D24" s="3">
        <f>ROUND(+B24/0.7645,2)</f>
        <v>0.65</v>
      </c>
      <c r="E24" t="s">
        <v>24</v>
      </c>
    </row>
    <row r="26" spans="2:11" ht="12.75">
      <c r="B26" s="110" t="s">
        <v>42</v>
      </c>
      <c r="C26" s="39"/>
      <c r="G26" s="5">
        <f>ROUNDDOWN((B22/B24),0)*B24</f>
        <v>11.5</v>
      </c>
      <c r="H26" t="s">
        <v>1</v>
      </c>
      <c r="J26" s="111">
        <f>ROUNDDOWN((D22/D24),0)*D24</f>
        <v>15.600000000000001</v>
      </c>
      <c r="K26" t="s">
        <v>24</v>
      </c>
    </row>
    <row r="28" spans="1:11" ht="12.75">
      <c r="A28" s="85"/>
      <c r="B28" s="11" t="s">
        <v>97</v>
      </c>
      <c r="G28" s="24">
        <v>10</v>
      </c>
      <c r="H28" t="s">
        <v>3</v>
      </c>
      <c r="J28" s="3">
        <f>ROUND(+G28/0.7645,2)</f>
        <v>13.08</v>
      </c>
      <c r="K28" t="s">
        <v>24</v>
      </c>
    </row>
    <row r="29" spans="1:4" ht="15" customHeight="1">
      <c r="A29" s="139">
        <f>IF(G28&gt;0,IF(G30&gt;0," Choose one of the two options, metric or imperial",""),"")</f>
      </c>
      <c r="B29" s="139"/>
      <c r="C29" s="139"/>
      <c r="D29" s="139"/>
    </row>
    <row r="30" spans="1:11" ht="12.75">
      <c r="A30" s="139"/>
      <c r="B30" s="139"/>
      <c r="C30" s="139"/>
      <c r="D30" s="139"/>
      <c r="G30" s="4"/>
      <c r="H30" t="s">
        <v>26</v>
      </c>
      <c r="J30" s="5">
        <f>ROUND(+G30*0.7645,23)</f>
        <v>0</v>
      </c>
      <c r="K30" t="s">
        <v>1</v>
      </c>
    </row>
    <row r="31" ht="13.5" thickBot="1"/>
    <row r="32" spans="1:11" ht="12.7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2.75">
      <c r="A33" s="126" t="s">
        <v>43</v>
      </c>
      <c r="B33" s="15"/>
      <c r="C33" s="15"/>
      <c r="D33" s="15"/>
      <c r="E33" s="15"/>
      <c r="F33" s="19">
        <f>ROUND(IF(G28&gt;0,G28*D7*D12/1000,G30*F7*D12/2000/1.1023),2)</f>
        <v>18.36</v>
      </c>
      <c r="G33" s="21" t="s">
        <v>44</v>
      </c>
      <c r="I33" s="20">
        <f>ROUND(+F33*1.1023,2)</f>
        <v>20.24</v>
      </c>
      <c r="J33" s="21" t="s">
        <v>45</v>
      </c>
      <c r="K33" s="112"/>
    </row>
    <row r="34" spans="1:11" ht="13.5" thickBo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8"/>
    </row>
    <row r="37" ht="15.75">
      <c r="A37" s="25" t="s">
        <v>46</v>
      </c>
    </row>
    <row r="39" ht="14.25">
      <c r="A39" s="87" t="s">
        <v>118</v>
      </c>
    </row>
    <row r="40" ht="14.25">
      <c r="A40" s="87" t="s">
        <v>119</v>
      </c>
    </row>
    <row r="41" ht="14.25">
      <c r="A41" s="87" t="s">
        <v>48</v>
      </c>
    </row>
    <row r="42" ht="14.25">
      <c r="A42" s="87" t="s">
        <v>116</v>
      </c>
    </row>
    <row r="43" ht="14.25">
      <c r="A43" s="87" t="s">
        <v>117</v>
      </c>
    </row>
    <row r="44" ht="14.25">
      <c r="A44" s="86"/>
    </row>
    <row r="45" spans="1:10" ht="12.75">
      <c r="A45" s="85" t="s">
        <v>99</v>
      </c>
      <c r="F45" s="24">
        <v>3.5</v>
      </c>
      <c r="G45" t="s">
        <v>3</v>
      </c>
      <c r="I45" s="3">
        <f>ROUND(+F45/0.7645,2)</f>
        <v>4.58</v>
      </c>
      <c r="J45" t="s">
        <v>24</v>
      </c>
    </row>
    <row r="46" spans="1:4" ht="12.75">
      <c r="A46" s="139">
        <f>IF(F45&gt;0,IF(F47&gt;0," Choose one of the two options, metric or imperial",""),"")</f>
      </c>
      <c r="B46" s="139"/>
      <c r="C46" s="139"/>
      <c r="D46" s="139"/>
    </row>
    <row r="47" spans="1:10" ht="12.75">
      <c r="A47" s="139"/>
      <c r="B47" s="139"/>
      <c r="C47" s="139"/>
      <c r="D47" s="139"/>
      <c r="F47" s="4"/>
      <c r="G47" t="s">
        <v>26</v>
      </c>
      <c r="I47" s="5">
        <f>ROUND(+F47*0.7645,23)</f>
        <v>0</v>
      </c>
      <c r="J47" t="s">
        <v>1</v>
      </c>
    </row>
    <row r="49" spans="1:10" ht="15">
      <c r="A49" s="31" t="s">
        <v>49</v>
      </c>
      <c r="F49" s="19">
        <f>+F33/F53</f>
        <v>2.855365474339036</v>
      </c>
      <c r="I49" s="90">
        <f>ROUND(F49,0)</f>
        <v>3</v>
      </c>
      <c r="J49" t="s">
        <v>50</v>
      </c>
    </row>
    <row r="50" ht="14.25">
      <c r="A50" s="86"/>
    </row>
    <row r="51" ht="13.5" thickBot="1"/>
    <row r="52" spans="1:11" ht="12.7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1:11" ht="12.75">
      <c r="A53" s="126" t="s">
        <v>51</v>
      </c>
      <c r="B53" s="15"/>
      <c r="C53" s="15"/>
      <c r="D53" s="15"/>
      <c r="E53" s="15"/>
      <c r="F53" s="19">
        <f>ROUND(IF(F45&gt;0,F45*D7*D12/1000,F47*F7*D12/2000/1.1023),2)</f>
        <v>6.43</v>
      </c>
      <c r="G53" s="21" t="s">
        <v>44</v>
      </c>
      <c r="I53" s="20">
        <f>ROUND(+F53*1.1023,2)</f>
        <v>7.09</v>
      </c>
      <c r="J53" s="21" t="s">
        <v>45</v>
      </c>
      <c r="K53" s="112"/>
    </row>
    <row r="54" spans="1:11" ht="13.5" thickBo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8"/>
    </row>
    <row r="55" ht="14.25">
      <c r="A55" s="86"/>
    </row>
    <row r="56" ht="15">
      <c r="A56" s="114" t="s">
        <v>52</v>
      </c>
    </row>
    <row r="57" spans="2:7" ht="12.75">
      <c r="B57" s="30" t="s">
        <v>53</v>
      </c>
      <c r="C57" s="129" t="s">
        <v>98</v>
      </c>
      <c r="D57" s="147"/>
      <c r="E57" s="129" t="s">
        <v>57</v>
      </c>
      <c r="F57" s="147"/>
      <c r="G57" s="30" t="s">
        <v>58</v>
      </c>
    </row>
    <row r="58" spans="2:7" ht="12.75">
      <c r="B58" s="29" t="s">
        <v>54</v>
      </c>
      <c r="C58" s="28" t="s">
        <v>55</v>
      </c>
      <c r="D58" s="28" t="s">
        <v>56</v>
      </c>
      <c r="E58" s="28" t="s">
        <v>55</v>
      </c>
      <c r="F58" s="28" t="s">
        <v>56</v>
      </c>
      <c r="G58" s="29" t="s">
        <v>12</v>
      </c>
    </row>
    <row r="59" spans="1:7" ht="12.75">
      <c r="A59" t="s">
        <v>4</v>
      </c>
      <c r="B59" s="9">
        <v>20</v>
      </c>
      <c r="C59" s="26">
        <v>0.1</v>
      </c>
      <c r="D59" s="27">
        <f>-C59</f>
        <v>-0.1</v>
      </c>
      <c r="E59" s="23">
        <v>5</v>
      </c>
      <c r="F59" s="23">
        <v>8</v>
      </c>
      <c r="G59" s="3">
        <f>IF(E59&gt;0,IF(F59&gt;0,(B59/E59+B59/F59)/1000*60,B59/E59/1000*60),B59/F59/1000*60)</f>
        <v>0.38999999999999996</v>
      </c>
    </row>
    <row r="60" spans="1:7" ht="12.75">
      <c r="A60" t="s">
        <v>5</v>
      </c>
      <c r="B60" s="9">
        <v>5</v>
      </c>
      <c r="C60" s="26">
        <v>0.1</v>
      </c>
      <c r="D60" s="27">
        <f>-C60</f>
        <v>-0.1</v>
      </c>
      <c r="E60" s="23">
        <v>3</v>
      </c>
      <c r="F60" s="23">
        <v>3</v>
      </c>
      <c r="G60" s="3">
        <f>IF(E60&gt;0,IF(F60&gt;0,(B60/E60+B60/F60)/1000*60,B60/E60/1000*60),B60/F60/1000*60)</f>
        <v>0.2</v>
      </c>
    </row>
    <row r="61" spans="1:7" ht="12.75">
      <c r="A61" t="s">
        <v>6</v>
      </c>
      <c r="B61" s="9"/>
      <c r="C61" s="26">
        <v>0</v>
      </c>
      <c r="D61" s="27">
        <f>-C61</f>
        <v>0</v>
      </c>
      <c r="E61" s="23">
        <v>9</v>
      </c>
      <c r="F61" s="23">
        <v>9</v>
      </c>
      <c r="G61" s="3">
        <f>IF(E61&gt;0,IF(F61&gt;0,(B61/E61+B61/F61)/1000*60,B61/E61/1000*60),B61/F61/1000*60)</f>
        <v>0</v>
      </c>
    </row>
    <row r="62" spans="1:7" ht="12.75">
      <c r="A62" t="s">
        <v>7</v>
      </c>
      <c r="B62" s="9"/>
      <c r="C62" s="26">
        <v>0.1</v>
      </c>
      <c r="D62" s="27">
        <f>-C62</f>
        <v>-0.1</v>
      </c>
      <c r="E62" s="23">
        <v>8</v>
      </c>
      <c r="F62" s="23">
        <v>5</v>
      </c>
      <c r="G62" s="3">
        <f>IF(E62&gt;0,IF(F62&gt;0,(B62/E62+B62/F62)/1000*60,B62/E62/1000*60),B62/F62/1000*60)</f>
        <v>0</v>
      </c>
    </row>
    <row r="63" spans="5:9" ht="15">
      <c r="E63" s="114" t="s">
        <v>59</v>
      </c>
      <c r="H63" s="106">
        <f>SUM(G59:G62)</f>
        <v>0.59</v>
      </c>
      <c r="I63" t="s">
        <v>13</v>
      </c>
    </row>
    <row r="64" spans="5:9" ht="15">
      <c r="E64" s="114" t="s">
        <v>60</v>
      </c>
      <c r="H64" s="23">
        <v>0.4</v>
      </c>
      <c r="I64" t="s">
        <v>13</v>
      </c>
    </row>
    <row r="65" spans="5:9" ht="15">
      <c r="E65" s="114" t="s">
        <v>61</v>
      </c>
      <c r="H65" s="23">
        <v>0.5</v>
      </c>
      <c r="I65" t="s">
        <v>13</v>
      </c>
    </row>
    <row r="67" spans="1:9" ht="12.75">
      <c r="A67" s="10" t="s">
        <v>62</v>
      </c>
      <c r="B67" s="10"/>
      <c r="C67" s="20">
        <f>SUM(B58:B62)*2</f>
        <v>50</v>
      </c>
      <c r="D67" s="10" t="s">
        <v>11</v>
      </c>
      <c r="G67" s="32" t="s">
        <v>63</v>
      </c>
      <c r="H67" s="106">
        <v>2.19</v>
      </c>
      <c r="I67" t="s">
        <v>64</v>
      </c>
    </row>
    <row r="69" spans="1:9" ht="15">
      <c r="A69" s="10" t="s">
        <v>67</v>
      </c>
      <c r="D69" s="88">
        <f>+I49</f>
        <v>3</v>
      </c>
      <c r="E69" s="89" t="s">
        <v>23</v>
      </c>
      <c r="F69" s="107">
        <f>+H67</f>
        <v>2.19</v>
      </c>
      <c r="G69" s="89" t="s">
        <v>14</v>
      </c>
      <c r="H69" s="115">
        <f>+I49*H67</f>
        <v>6.57</v>
      </c>
      <c r="I69" s="10" t="s">
        <v>65</v>
      </c>
    </row>
    <row r="70" spans="1:9" ht="12.75">
      <c r="A70" s="10" t="s">
        <v>66</v>
      </c>
      <c r="H70" s="23">
        <v>0.4</v>
      </c>
      <c r="I70" s="10" t="s">
        <v>65</v>
      </c>
    </row>
    <row r="71" spans="7:9" ht="15">
      <c r="G71" s="33" t="s">
        <v>68</v>
      </c>
      <c r="H71" s="113">
        <f>+H69+H70</f>
        <v>6.970000000000001</v>
      </c>
      <c r="I71" s="92" t="s">
        <v>65</v>
      </c>
    </row>
    <row r="73" ht="15.75">
      <c r="A73" s="25" t="s">
        <v>100</v>
      </c>
    </row>
    <row r="75" spans="2:7" ht="12.75">
      <c r="B75" s="30" t="s">
        <v>53</v>
      </c>
      <c r="C75" s="129" t="s">
        <v>98</v>
      </c>
      <c r="D75" s="147"/>
      <c r="E75" s="129" t="s">
        <v>57</v>
      </c>
      <c r="F75" s="147"/>
      <c r="G75" s="30" t="s">
        <v>58</v>
      </c>
    </row>
    <row r="76" spans="2:7" ht="12.75">
      <c r="B76" s="29" t="s">
        <v>54</v>
      </c>
      <c r="C76" s="28" t="s">
        <v>55</v>
      </c>
      <c r="D76" s="28" t="s">
        <v>56</v>
      </c>
      <c r="E76" s="28" t="s">
        <v>55</v>
      </c>
      <c r="F76" s="28" t="s">
        <v>56</v>
      </c>
      <c r="G76" s="29" t="s">
        <v>12</v>
      </c>
    </row>
    <row r="77" spans="1:11" ht="12.75">
      <c r="A77" t="s">
        <v>4</v>
      </c>
      <c r="B77" s="9">
        <v>244</v>
      </c>
      <c r="C77" s="26">
        <v>0</v>
      </c>
      <c r="D77" s="27">
        <f>-C77</f>
        <v>0</v>
      </c>
      <c r="E77" s="23">
        <v>16</v>
      </c>
      <c r="F77" s="23">
        <v>16</v>
      </c>
      <c r="G77" s="3">
        <f>IF(E77&gt;0,IF(F77&gt;0,(B77/E77+B77/F77)/1000*60,B77/E77/1000*60),B77/F77/1000*60)</f>
        <v>1.83</v>
      </c>
      <c r="J77" s="2"/>
      <c r="K77" s="2"/>
    </row>
    <row r="78" spans="1:7" ht="12.75">
      <c r="A78" t="s">
        <v>5</v>
      </c>
      <c r="B78" s="9">
        <v>457</v>
      </c>
      <c r="C78" s="26">
        <v>0.1</v>
      </c>
      <c r="D78" s="27">
        <f aca="true" t="shared" si="0" ref="D78:D83">-C78</f>
        <v>-0.1</v>
      </c>
      <c r="E78" s="23">
        <v>7.2</v>
      </c>
      <c r="F78" s="23">
        <v>14.5</v>
      </c>
      <c r="G78" s="3">
        <f aca="true" t="shared" si="1" ref="G78:G83">IF(E78&gt;0,IF(F78&gt;0,(B78/E78+B78/F78)/1000*60,B78/E78/1000*60),B78/F78/1000*60)</f>
        <v>5.6993678160919545</v>
      </c>
    </row>
    <row r="79" spans="1:7" ht="12.75">
      <c r="A79" t="s">
        <v>6</v>
      </c>
      <c r="B79" s="9"/>
      <c r="C79" s="26">
        <v>0</v>
      </c>
      <c r="D79" s="27">
        <f t="shared" si="0"/>
        <v>0</v>
      </c>
      <c r="E79" s="23">
        <v>9</v>
      </c>
      <c r="F79" s="23">
        <v>9</v>
      </c>
      <c r="G79" s="3">
        <f t="shared" si="1"/>
        <v>0</v>
      </c>
    </row>
    <row r="80" spans="1:7" ht="12.75">
      <c r="A80" t="s">
        <v>7</v>
      </c>
      <c r="B80" s="9"/>
      <c r="C80" s="26">
        <v>0.1</v>
      </c>
      <c r="D80" s="27">
        <f t="shared" si="0"/>
        <v>-0.1</v>
      </c>
      <c r="E80" s="23">
        <v>8</v>
      </c>
      <c r="F80" s="23">
        <v>5</v>
      </c>
      <c r="G80" s="3">
        <f t="shared" si="1"/>
        <v>0</v>
      </c>
    </row>
    <row r="81" spans="1:7" ht="12.75">
      <c r="A81" t="s">
        <v>8</v>
      </c>
      <c r="B81" s="9"/>
      <c r="C81" s="26">
        <v>-0.2</v>
      </c>
      <c r="D81" s="27">
        <f t="shared" si="0"/>
        <v>0.2</v>
      </c>
      <c r="E81" s="23">
        <v>7</v>
      </c>
      <c r="F81" s="23">
        <v>5</v>
      </c>
      <c r="G81" s="3">
        <f t="shared" si="1"/>
        <v>0</v>
      </c>
    </row>
    <row r="82" spans="1:7" ht="12.75">
      <c r="A82" t="s">
        <v>9</v>
      </c>
      <c r="B82" s="9"/>
      <c r="C82" s="26">
        <v>0.15</v>
      </c>
      <c r="D82" s="27">
        <f t="shared" si="0"/>
        <v>-0.15</v>
      </c>
      <c r="E82" s="23">
        <v>4.8</v>
      </c>
      <c r="F82" s="23">
        <v>7.5</v>
      </c>
      <c r="G82" s="3">
        <f t="shared" si="1"/>
        <v>0</v>
      </c>
    </row>
    <row r="83" spans="1:7" ht="12.75">
      <c r="A83" t="s">
        <v>10</v>
      </c>
      <c r="B83" s="9"/>
      <c r="C83" s="26">
        <v>0</v>
      </c>
      <c r="D83" s="27">
        <f t="shared" si="0"/>
        <v>0</v>
      </c>
      <c r="E83" s="23">
        <v>9</v>
      </c>
      <c r="F83" s="23">
        <v>9</v>
      </c>
      <c r="G83" s="3">
        <f t="shared" si="1"/>
        <v>0</v>
      </c>
    </row>
    <row r="84" spans="6:9" ht="15">
      <c r="F84" s="114" t="s">
        <v>59</v>
      </c>
      <c r="H84" s="106">
        <f>SUM(G77:G83)</f>
        <v>7.529367816091955</v>
      </c>
      <c r="I84" t="s">
        <v>13</v>
      </c>
    </row>
    <row r="85" spans="6:9" ht="15">
      <c r="F85" s="114" t="s">
        <v>60</v>
      </c>
      <c r="H85" s="106">
        <f>+H71</f>
        <v>6.970000000000001</v>
      </c>
      <c r="I85" t="s">
        <v>13</v>
      </c>
    </row>
    <row r="86" spans="6:9" ht="15">
      <c r="F86" s="114" t="s">
        <v>69</v>
      </c>
      <c r="H86" s="23">
        <v>1.1</v>
      </c>
      <c r="I86" t="s">
        <v>13</v>
      </c>
    </row>
    <row r="88" spans="1:9" ht="12.75">
      <c r="A88" s="10" t="s">
        <v>62</v>
      </c>
      <c r="B88" s="10"/>
      <c r="C88" s="20">
        <f>SUM(B77:B83)*2</f>
        <v>1402</v>
      </c>
      <c r="D88" s="10" t="s">
        <v>11</v>
      </c>
      <c r="G88" s="32" t="s">
        <v>70</v>
      </c>
      <c r="H88" s="106">
        <f>ROUND(+H86+H85+H84,1)</f>
        <v>15.6</v>
      </c>
      <c r="I88" t="s">
        <v>65</v>
      </c>
    </row>
    <row r="89" spans="1:4" ht="12.75">
      <c r="A89" s="10"/>
      <c r="B89" s="10"/>
      <c r="C89" s="10"/>
      <c r="D89" s="10"/>
    </row>
    <row r="91" ht="15.75">
      <c r="A91" s="25" t="s">
        <v>102</v>
      </c>
    </row>
    <row r="92" ht="13.5" thickBot="1"/>
    <row r="93" spans="1:6" ht="13.5" thickBot="1">
      <c r="A93" s="43" t="s">
        <v>71</v>
      </c>
      <c r="E93" s="36">
        <f>4*4*4*2.8</f>
        <v>179.2</v>
      </c>
      <c r="F93" s="10" t="s">
        <v>44</v>
      </c>
    </row>
    <row r="95" spans="1:8" ht="15">
      <c r="A95" s="43" t="s">
        <v>72</v>
      </c>
      <c r="E95" s="115">
        <f>+E93/F33</f>
        <v>9.760348583877995</v>
      </c>
      <c r="G95" s="95">
        <f>ROUND(E95,0)</f>
        <v>10</v>
      </c>
      <c r="H95" s="92" t="s">
        <v>74</v>
      </c>
    </row>
    <row r="97" spans="1:9" ht="12.75">
      <c r="A97" s="43" t="s">
        <v>73</v>
      </c>
      <c r="E97" s="124">
        <f>+G95*H88</f>
        <v>156</v>
      </c>
      <c r="F97" t="s">
        <v>120</v>
      </c>
      <c r="G97" s="2" t="s">
        <v>101</v>
      </c>
      <c r="H97" s="3">
        <f>+E97/60</f>
        <v>2.6</v>
      </c>
      <c r="I97" t="s">
        <v>75</v>
      </c>
    </row>
    <row r="100" ht="15.75">
      <c r="A100" s="25" t="s">
        <v>76</v>
      </c>
    </row>
    <row r="101" ht="13.5" thickBot="1"/>
    <row r="102" spans="1:8" ht="15.75" thickBot="1">
      <c r="A102" s="127" t="s">
        <v>77</v>
      </c>
      <c r="B102" s="101"/>
      <c r="C102" s="101"/>
      <c r="D102" s="101"/>
      <c r="E102" s="102"/>
      <c r="F102" s="86"/>
      <c r="G102" s="100">
        <v>90</v>
      </c>
      <c r="H102" s="86" t="s">
        <v>13</v>
      </c>
    </row>
    <row r="103" ht="12.75">
      <c r="A103" s="43"/>
    </row>
    <row r="104" spans="1:10" ht="12.75">
      <c r="A104" s="93" t="s">
        <v>78</v>
      </c>
      <c r="I104" s="41">
        <f>ROUNDDOWN(+H88/H69,0)</f>
        <v>2</v>
      </c>
      <c r="J104" s="10" t="str">
        <f>CONCATENATE("loaded trucks in ",H88," minutes    ")</f>
        <v>loaded trucks in 15.6 minutes    </v>
      </c>
    </row>
    <row r="105" ht="12.75">
      <c r="A105" s="43"/>
    </row>
    <row r="106" spans="1:8" ht="12.75">
      <c r="A106" s="43" t="s">
        <v>79</v>
      </c>
      <c r="E106" s="91">
        <f>+G102/H88</f>
        <v>5.769230769230769</v>
      </c>
      <c r="G106" s="90">
        <f>ROUNDDOWN(E106,0)</f>
        <v>5</v>
      </c>
      <c r="H106" t="s">
        <v>126</v>
      </c>
    </row>
    <row r="107" spans="1:8" ht="12.75">
      <c r="A107" s="43" t="s">
        <v>80</v>
      </c>
      <c r="E107" s="91">
        <f>+G95/G106</f>
        <v>2</v>
      </c>
      <c r="G107" s="90">
        <f>ROUNDUP(E107,0)</f>
        <v>2</v>
      </c>
      <c r="H107" t="s">
        <v>81</v>
      </c>
    </row>
    <row r="108" spans="1:5" ht="12.75">
      <c r="A108" s="43"/>
      <c r="E108" s="91"/>
    </row>
    <row r="109" spans="1:5" ht="15" customHeight="1">
      <c r="A109" s="103" t="s">
        <v>82</v>
      </c>
      <c r="E109" s="91"/>
    </row>
    <row r="110" ht="12.75">
      <c r="A110" s="96" t="s">
        <v>110</v>
      </c>
    </row>
    <row r="111" spans="1:7" ht="12.75">
      <c r="A111" s="117" t="str">
        <f>CONCATENATE(G102," min - (",G95," loads @ ",H85,"min/load) =")</f>
        <v>90 min - (10 loads @ 6.97min/load) =</v>
      </c>
      <c r="F111" s="20">
        <f>G102-(G95*H71)</f>
        <v>20.299999999999997</v>
      </c>
      <c r="G111" s="10" t="s">
        <v>13</v>
      </c>
    </row>
    <row r="112" spans="1:6" ht="12.75">
      <c r="A112" s="117" t="s">
        <v>85</v>
      </c>
      <c r="F112" s="116">
        <f>+G95*H85/G102</f>
        <v>0.7744444444444445</v>
      </c>
    </row>
    <row r="113" spans="1:2" ht="15.75" thickBot="1">
      <c r="A113" s="94"/>
      <c r="B113" s="10"/>
    </row>
    <row r="114" spans="1:12" ht="15.75" thickBot="1">
      <c r="A114" s="94"/>
      <c r="G114" s="97" t="str">
        <f>IF(F112&gt;1," Warning, it is impossible to clean the face in the allocated time ",IF(F112&gt;=0.95," Warning, the system is at its optimum, therefore without flexibility"," OK, the system is operational"))</f>
        <v> OK, the system is operational</v>
      </c>
      <c r="H114" s="98"/>
      <c r="I114" s="98"/>
      <c r="J114" s="98"/>
      <c r="K114" s="98"/>
      <c r="L114" s="99"/>
    </row>
    <row r="115" ht="15">
      <c r="A115" s="94"/>
    </row>
    <row r="116" ht="12.75">
      <c r="A116" s="96" t="s">
        <v>83</v>
      </c>
    </row>
    <row r="117" ht="12.75">
      <c r="A117" s="117" t="str">
        <f>CONCATENATE(G107," trucks are required for the ",G95," loads ")</f>
        <v>2 trucks are required for the 10 loads </v>
      </c>
    </row>
    <row r="118" spans="1:6" ht="12.75">
      <c r="A118" s="117" t="s">
        <v>111</v>
      </c>
      <c r="F118" s="116">
        <f>+G95*H88/G107/G102</f>
        <v>0.8666666666666667</v>
      </c>
    </row>
    <row r="119" ht="13.5" thickBot="1">
      <c r="A119" s="117"/>
    </row>
    <row r="120" spans="1:12" ht="13.5" thickBot="1">
      <c r="A120" s="96"/>
      <c r="G120" s="97" t="str">
        <f>IF(F118&gt;1," Warning, it is impossible to clean the face in the allocated time",IF(F118&gt;=0.95," Warning, the system is at its optimum, therefore without flexibility"," OK, the system is operational"))</f>
        <v> OK, the system is operational</v>
      </c>
      <c r="H120" s="98"/>
      <c r="I120" s="98"/>
      <c r="J120" s="98"/>
      <c r="K120" s="98"/>
      <c r="L120" s="99"/>
    </row>
    <row r="122" ht="15.75">
      <c r="A122" s="25" t="s">
        <v>84</v>
      </c>
    </row>
    <row r="123" spans="2:9" ht="15">
      <c r="B123" s="118" t="str">
        <f>CONCATENATE("=&gt; 1 scooptram of ",D13," m³ which loads trucks at ",C67/2," m from the face")</f>
        <v>=&gt; 1 scooptram of 3.82 m³ which loads trucks at 25 m from the face</v>
      </c>
      <c r="C123" s="119"/>
      <c r="D123" s="119"/>
      <c r="E123" s="119"/>
      <c r="F123" s="119"/>
      <c r="G123" s="119"/>
      <c r="H123" s="119"/>
      <c r="I123" s="120"/>
    </row>
    <row r="124" spans="2:9" ht="15">
      <c r="B124" s="118" t="str">
        <f>CONCATENATE("=&gt; ",G107," trucks of ",G28," m³ which haul at ",C88/2," m from the loading point")</f>
        <v>=&gt; 2 trucks of 10 m³ which haul at 701 m from the loading point</v>
      </c>
      <c r="C124" s="119"/>
      <c r="D124" s="119"/>
      <c r="E124" s="119"/>
      <c r="F124" s="119"/>
      <c r="G124" s="119"/>
      <c r="H124" s="119"/>
      <c r="I124" s="120"/>
    </row>
    <row r="125" spans="2:9" ht="15.75" thickBot="1">
      <c r="B125" s="121" t="str">
        <f>IF(F112&lt;1,IF(F118&lt;1,"THE SYSTEM IS OPERATIONAL ","IS NONOPERATIONAL, REVISE THE SYSTEM OR THE ALLOCATED TIME"),"IS NONOPERATIONAL, REVISE THE SYSTEM OR THE ALLOCATED TIME")</f>
        <v>THE SYSTEM IS OPERATIONAL </v>
      </c>
      <c r="C125" s="122"/>
      <c r="D125" s="122"/>
      <c r="E125" s="122"/>
      <c r="F125" s="122"/>
      <c r="G125" s="122"/>
      <c r="H125" s="122"/>
      <c r="I125" s="123"/>
    </row>
    <row r="130" spans="1:12" ht="15.75">
      <c r="A130" s="130" t="s">
        <v>86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2"/>
    </row>
    <row r="131" spans="1:12" ht="12.75">
      <c r="A131" s="133" t="s">
        <v>87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5"/>
    </row>
    <row r="132" spans="1:12" ht="12.75">
      <c r="A132" s="72"/>
      <c r="B132" s="79" t="s">
        <v>88</v>
      </c>
      <c r="C132" s="67">
        <v>0.05</v>
      </c>
      <c r="D132" s="64" t="str">
        <f>CONCATENATE("",ROUND(180/PI()*ATAN(C132),1)," °")</f>
        <v>2.9 °</v>
      </c>
      <c r="E132" s="67">
        <v>0.1</v>
      </c>
      <c r="F132" s="64" t="str">
        <f>CONCATENATE("",ROUND(180/PI()*ATAN(E132),1)," °")</f>
        <v>5.7 °</v>
      </c>
      <c r="G132" s="67">
        <v>0.15</v>
      </c>
      <c r="H132" s="64" t="str">
        <f>CONCATENATE("",ROUND(180/PI()*ATAN(G132),1)," °")</f>
        <v>8.5 °</v>
      </c>
      <c r="I132" s="67">
        <v>0.2</v>
      </c>
      <c r="J132" s="64" t="str">
        <f>CONCATENATE("",ROUND(180/PI()*ATAN(I132),1)," °")</f>
        <v>11.3 °</v>
      </c>
      <c r="K132" s="67">
        <v>0.25</v>
      </c>
      <c r="L132" s="64" t="str">
        <f>CONCATENATE("",ROUND(180/PI()*ATAN(K132),1)," °")</f>
        <v>14 °</v>
      </c>
    </row>
    <row r="133" spans="1:12" ht="12.75">
      <c r="A133" s="73" t="s">
        <v>29</v>
      </c>
      <c r="B133" s="73" t="s">
        <v>89</v>
      </c>
      <c r="C133" s="62" t="s">
        <v>121</v>
      </c>
      <c r="D133" s="63" t="s">
        <v>123</v>
      </c>
      <c r="E133" s="62" t="s">
        <v>121</v>
      </c>
      <c r="F133" s="63" t="s">
        <v>123</v>
      </c>
      <c r="G133" s="62" t="s">
        <v>121</v>
      </c>
      <c r="H133" s="63" t="s">
        <v>123</v>
      </c>
      <c r="I133" s="62" t="s">
        <v>121</v>
      </c>
      <c r="J133" s="63" t="s">
        <v>123</v>
      </c>
      <c r="K133" s="62" t="s">
        <v>121</v>
      </c>
      <c r="L133" s="63" t="s">
        <v>123</v>
      </c>
    </row>
    <row r="134" spans="1:12" ht="13.5" thickBot="1">
      <c r="A134" s="74"/>
      <c r="B134" s="74" t="s">
        <v>90</v>
      </c>
      <c r="C134" s="65" t="s">
        <v>122</v>
      </c>
      <c r="D134" s="66" t="s">
        <v>124</v>
      </c>
      <c r="E134" s="65" t="s">
        <v>122</v>
      </c>
      <c r="F134" s="66" t="s">
        <v>124</v>
      </c>
      <c r="G134" s="65" t="s">
        <v>122</v>
      </c>
      <c r="H134" s="66" t="s">
        <v>124</v>
      </c>
      <c r="I134" s="65" t="s">
        <v>122</v>
      </c>
      <c r="J134" s="66" t="s">
        <v>124</v>
      </c>
      <c r="K134" s="65" t="s">
        <v>122</v>
      </c>
      <c r="L134" s="66" t="s">
        <v>124</v>
      </c>
    </row>
    <row r="135" spans="1:12" ht="12.75">
      <c r="A135" s="75" t="s">
        <v>15</v>
      </c>
      <c r="B135" s="73">
        <v>26.9</v>
      </c>
      <c r="C135" s="68">
        <v>8.7</v>
      </c>
      <c r="D135" s="69">
        <v>23.5</v>
      </c>
      <c r="E135" s="68">
        <v>7.4</v>
      </c>
      <c r="F135" s="69">
        <v>15.3</v>
      </c>
      <c r="G135" s="68">
        <v>3.9</v>
      </c>
      <c r="H135" s="69">
        <v>8.5</v>
      </c>
      <c r="I135" s="68">
        <v>3.5</v>
      </c>
      <c r="J135" s="69">
        <v>8.1</v>
      </c>
      <c r="K135" s="68">
        <v>3.4</v>
      </c>
      <c r="L135" s="69">
        <v>4</v>
      </c>
    </row>
    <row r="136" spans="1:12" ht="12.75">
      <c r="A136" s="75" t="s">
        <v>16</v>
      </c>
      <c r="B136" s="73">
        <v>28.5</v>
      </c>
      <c r="C136" s="68">
        <v>10.9</v>
      </c>
      <c r="D136" s="69">
        <v>20.8</v>
      </c>
      <c r="E136" s="68">
        <v>6.8</v>
      </c>
      <c r="F136" s="69">
        <v>12.1</v>
      </c>
      <c r="G136" s="68">
        <v>4</v>
      </c>
      <c r="H136" s="69">
        <v>7.9</v>
      </c>
      <c r="I136" s="68">
        <v>3.7</v>
      </c>
      <c r="J136" s="69">
        <v>7.2</v>
      </c>
      <c r="K136" s="68">
        <v>3.2</v>
      </c>
      <c r="L136" s="69">
        <v>6.3</v>
      </c>
    </row>
    <row r="137" spans="1:12" ht="12.75">
      <c r="A137" s="75" t="s">
        <v>17</v>
      </c>
      <c r="B137" s="73">
        <v>32.2</v>
      </c>
      <c r="C137" s="68">
        <v>11.6</v>
      </c>
      <c r="D137" s="69">
        <v>21.3</v>
      </c>
      <c r="E137" s="68">
        <v>7.2</v>
      </c>
      <c r="F137" s="69">
        <v>13.2</v>
      </c>
      <c r="G137" s="68">
        <v>5.2</v>
      </c>
      <c r="H137" s="69">
        <v>8.9</v>
      </c>
      <c r="I137" s="68">
        <v>4</v>
      </c>
      <c r="J137" s="69">
        <v>7.7</v>
      </c>
      <c r="K137" s="68">
        <v>3.4</v>
      </c>
      <c r="L137" s="69">
        <v>6.3</v>
      </c>
    </row>
    <row r="138" spans="1:12" ht="12.75">
      <c r="A138" s="75" t="s">
        <v>18</v>
      </c>
      <c r="B138" s="73">
        <v>22.2</v>
      </c>
      <c r="C138" s="68">
        <v>11.5</v>
      </c>
      <c r="D138" s="69">
        <v>20.3</v>
      </c>
      <c r="E138" s="68">
        <v>7</v>
      </c>
      <c r="F138" s="69">
        <v>15.8</v>
      </c>
      <c r="G138" s="68">
        <v>6.1</v>
      </c>
      <c r="H138" s="69">
        <v>7</v>
      </c>
      <c r="I138" s="68">
        <v>3.8</v>
      </c>
      <c r="J138" s="69">
        <v>6.7</v>
      </c>
      <c r="K138" s="68">
        <v>3.5</v>
      </c>
      <c r="L138" s="69">
        <v>6.4</v>
      </c>
    </row>
    <row r="139" spans="1:12" ht="12.75">
      <c r="A139" s="75" t="s">
        <v>19</v>
      </c>
      <c r="B139" s="73">
        <v>24.2</v>
      </c>
      <c r="C139" s="68">
        <v>11.6</v>
      </c>
      <c r="D139" s="69">
        <v>20.9</v>
      </c>
      <c r="E139" s="68">
        <v>7.2</v>
      </c>
      <c r="F139" s="69">
        <v>14.5</v>
      </c>
      <c r="G139" s="68">
        <v>5.5</v>
      </c>
      <c r="H139" s="69">
        <v>7.4</v>
      </c>
      <c r="I139" s="68">
        <v>4.3</v>
      </c>
      <c r="J139" s="69">
        <v>6.8</v>
      </c>
      <c r="K139" s="68">
        <v>3.5</v>
      </c>
      <c r="L139" s="69">
        <v>6.4</v>
      </c>
    </row>
    <row r="140" spans="1:12" ht="12.75">
      <c r="A140" s="75" t="s">
        <v>20</v>
      </c>
      <c r="B140" s="73">
        <v>32.2</v>
      </c>
      <c r="C140" s="68">
        <v>9.8</v>
      </c>
      <c r="D140" s="69">
        <v>17</v>
      </c>
      <c r="E140" s="68">
        <v>6.4</v>
      </c>
      <c r="F140" s="69">
        <v>13.3</v>
      </c>
      <c r="G140" s="68">
        <v>4</v>
      </c>
      <c r="H140" s="69">
        <v>8.3</v>
      </c>
      <c r="I140" s="68">
        <v>3.7</v>
      </c>
      <c r="J140" s="69">
        <v>7.2</v>
      </c>
      <c r="K140" s="68">
        <v>3</v>
      </c>
      <c r="L140" s="69">
        <v>4.5</v>
      </c>
    </row>
    <row r="141" spans="1:12" ht="12.75">
      <c r="A141" s="75" t="s">
        <v>21</v>
      </c>
      <c r="B141" s="73">
        <v>30.3</v>
      </c>
      <c r="C141" s="68">
        <v>12.6</v>
      </c>
      <c r="D141" s="69">
        <v>24.5</v>
      </c>
      <c r="E141" s="68">
        <v>7.6</v>
      </c>
      <c r="F141" s="69">
        <v>14.5</v>
      </c>
      <c r="G141" s="68">
        <v>5.2</v>
      </c>
      <c r="H141" s="69">
        <v>11.6</v>
      </c>
      <c r="I141" s="68">
        <v>4.2</v>
      </c>
      <c r="J141" s="69">
        <v>7.9</v>
      </c>
      <c r="K141" s="68">
        <v>3.5</v>
      </c>
      <c r="L141" s="69">
        <v>7.2</v>
      </c>
    </row>
    <row r="142" spans="1:12" ht="12.75">
      <c r="A142" s="75" t="s">
        <v>22</v>
      </c>
      <c r="B142" s="73">
        <v>30.3</v>
      </c>
      <c r="C142" s="68">
        <v>12.6</v>
      </c>
      <c r="D142" s="69">
        <v>24.2</v>
      </c>
      <c r="E142" s="68">
        <v>7.4</v>
      </c>
      <c r="F142" s="69">
        <v>14.2</v>
      </c>
      <c r="G142" s="68">
        <v>5.2</v>
      </c>
      <c r="H142" s="69">
        <v>8.4</v>
      </c>
      <c r="I142" s="68">
        <v>4</v>
      </c>
      <c r="J142" s="69">
        <v>8.1</v>
      </c>
      <c r="K142" s="68">
        <v>3.5</v>
      </c>
      <c r="L142" s="69">
        <v>7.2</v>
      </c>
    </row>
    <row r="143" spans="1:12" ht="12.75">
      <c r="A143" s="76" t="s">
        <v>17</v>
      </c>
      <c r="B143" s="29">
        <v>32.2</v>
      </c>
      <c r="C143" s="70">
        <v>8.9</v>
      </c>
      <c r="D143" s="71">
        <v>16.1</v>
      </c>
      <c r="E143" s="70">
        <v>6.6</v>
      </c>
      <c r="F143" s="71">
        <v>4.2</v>
      </c>
      <c r="G143" s="70">
        <v>4.3</v>
      </c>
      <c r="H143" s="71">
        <v>3.7</v>
      </c>
      <c r="I143" s="70">
        <v>1.8</v>
      </c>
      <c r="J143" s="71">
        <v>3.4</v>
      </c>
      <c r="K143" s="70">
        <v>1.6</v>
      </c>
      <c r="L143" s="71">
        <v>2.6</v>
      </c>
    </row>
    <row r="144" spans="1:12" ht="12.75">
      <c r="A144" s="77" t="s">
        <v>103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78"/>
    </row>
    <row r="146" spans="1:5" ht="12.75">
      <c r="A146" s="15"/>
      <c r="B146" s="15"/>
      <c r="C146" s="15"/>
      <c r="D146" s="15"/>
      <c r="E146" s="15"/>
    </row>
    <row r="147" spans="1:5" ht="12.75">
      <c r="A147" s="128"/>
      <c r="B147" s="128"/>
      <c r="C147" s="128"/>
      <c r="D147" s="128"/>
      <c r="E147" s="128"/>
    </row>
    <row r="148" spans="1:5" ht="12.75">
      <c r="A148" s="142" t="s">
        <v>29</v>
      </c>
      <c r="B148" s="144" t="s">
        <v>91</v>
      </c>
      <c r="C148" s="145"/>
      <c r="D148" s="145"/>
      <c r="E148" s="146"/>
    </row>
    <row r="149" spans="1:5" ht="13.5" thickBot="1">
      <c r="A149" s="143"/>
      <c r="B149" s="80" t="s">
        <v>105</v>
      </c>
      <c r="C149" s="80" t="s">
        <v>24</v>
      </c>
      <c r="D149" s="105" t="s">
        <v>104</v>
      </c>
      <c r="E149" s="80" t="s">
        <v>1</v>
      </c>
    </row>
    <row r="150" spans="1:5" ht="12.75">
      <c r="A150" s="75" t="s">
        <v>15</v>
      </c>
      <c r="B150" s="29">
        <v>13</v>
      </c>
      <c r="C150" s="70">
        <f>+B150*2000/3300</f>
        <v>7.878787878787879</v>
      </c>
      <c r="D150" s="83">
        <f aca="true" t="shared" si="2" ref="D150:D158">+B150/1.1023</f>
        <v>11.793522634491516</v>
      </c>
      <c r="E150" s="42">
        <f aca="true" t="shared" si="3" ref="E150:E158">+C150*0.7645</f>
        <v>6.023333333333333</v>
      </c>
    </row>
    <row r="151" spans="1:5" ht="12.75">
      <c r="A151" s="75" t="s">
        <v>16</v>
      </c>
      <c r="B151" s="28">
        <v>16</v>
      </c>
      <c r="C151" s="82">
        <f aca="true" t="shared" si="4" ref="C151:C156">+B151*2000/3300</f>
        <v>9.696969696969697</v>
      </c>
      <c r="D151" s="84">
        <f t="shared" si="2"/>
        <v>14.515104780912637</v>
      </c>
      <c r="E151" s="81">
        <f t="shared" si="3"/>
        <v>7.413333333333333</v>
      </c>
    </row>
    <row r="152" spans="1:5" ht="12.75">
      <c r="A152" s="75" t="s">
        <v>17</v>
      </c>
      <c r="B152" s="28">
        <v>20</v>
      </c>
      <c r="C152" s="82">
        <f t="shared" si="4"/>
        <v>12.121212121212121</v>
      </c>
      <c r="D152" s="84">
        <f t="shared" si="2"/>
        <v>18.143880976140796</v>
      </c>
      <c r="E152" s="81">
        <f t="shared" si="3"/>
        <v>9.266666666666666</v>
      </c>
    </row>
    <row r="153" spans="1:5" ht="12.75">
      <c r="A153" s="75" t="s">
        <v>18</v>
      </c>
      <c r="B153" s="28">
        <v>22</v>
      </c>
      <c r="C153" s="82">
        <f t="shared" si="4"/>
        <v>13.333333333333334</v>
      </c>
      <c r="D153" s="84">
        <f t="shared" si="2"/>
        <v>19.958269073754874</v>
      </c>
      <c r="E153" s="81">
        <f t="shared" si="3"/>
        <v>10.193333333333333</v>
      </c>
    </row>
    <row r="154" spans="1:5" ht="12.75">
      <c r="A154" s="75" t="s">
        <v>19</v>
      </c>
      <c r="B154" s="28">
        <v>26</v>
      </c>
      <c r="C154" s="82">
        <f t="shared" si="4"/>
        <v>15.757575757575758</v>
      </c>
      <c r="D154" s="84">
        <f t="shared" si="2"/>
        <v>23.587045268983033</v>
      </c>
      <c r="E154" s="81">
        <f t="shared" si="3"/>
        <v>12.046666666666667</v>
      </c>
    </row>
    <row r="155" spans="1:5" ht="12.75">
      <c r="A155" s="75" t="s">
        <v>20</v>
      </c>
      <c r="B155" s="28">
        <v>33</v>
      </c>
      <c r="C155" s="82">
        <f t="shared" si="4"/>
        <v>20</v>
      </c>
      <c r="D155" s="84">
        <f t="shared" si="2"/>
        <v>29.937403610632312</v>
      </c>
      <c r="E155" s="81">
        <f t="shared" si="3"/>
        <v>15.29</v>
      </c>
    </row>
    <row r="156" spans="1:5" ht="12.75">
      <c r="A156" s="75" t="s">
        <v>21</v>
      </c>
      <c r="B156" s="28">
        <v>39</v>
      </c>
      <c r="C156" s="82">
        <f t="shared" si="4"/>
        <v>23.636363636363637</v>
      </c>
      <c r="D156" s="84">
        <f t="shared" si="2"/>
        <v>35.38056790347455</v>
      </c>
      <c r="E156" s="81">
        <f t="shared" si="3"/>
        <v>18.07</v>
      </c>
    </row>
    <row r="157" spans="1:5" ht="12.75">
      <c r="A157" s="75" t="s">
        <v>22</v>
      </c>
      <c r="B157" s="28"/>
      <c r="C157" s="82"/>
      <c r="D157" s="84">
        <f t="shared" si="2"/>
        <v>0</v>
      </c>
      <c r="E157" s="81">
        <f t="shared" si="3"/>
        <v>0</v>
      </c>
    </row>
    <row r="158" spans="1:5" ht="12.75">
      <c r="A158" s="76" t="s">
        <v>17</v>
      </c>
      <c r="B158" s="28"/>
      <c r="C158" s="82"/>
      <c r="D158" s="84">
        <f t="shared" si="2"/>
        <v>0</v>
      </c>
      <c r="E158" s="81">
        <f t="shared" si="3"/>
        <v>0</v>
      </c>
    </row>
  </sheetData>
  <mergeCells count="12">
    <mergeCell ref="H8:L8"/>
    <mergeCell ref="A148:A149"/>
    <mergeCell ref="B148:E148"/>
    <mergeCell ref="C57:D57"/>
    <mergeCell ref="E57:F57"/>
    <mergeCell ref="A46:D47"/>
    <mergeCell ref="C75:D75"/>
    <mergeCell ref="E75:F75"/>
    <mergeCell ref="A130:L130"/>
    <mergeCell ref="A131:L131"/>
    <mergeCell ref="H12:L12"/>
    <mergeCell ref="A29:D30"/>
  </mergeCells>
  <printOptions/>
  <pageMargins left="0.75" right="0.75" top="1" bottom="1" header="0.5" footer="0.5"/>
  <pageSetup cellComments="asDisplayed" horizontalDpi="600" verticalDpi="600" orientation="landscape" scale="90" r:id="rId4"/>
  <headerFooter alignWithMargins="0">
    <oddFooter>&amp;LFile:  &amp;F
Sheet:  &amp;A
Page &amp;P of &amp;N&amp;CExperimental Mine
Val-d'Or&amp;R&amp;D
&amp;T</oddFooter>
  </headerFooter>
  <rowBreaks count="3" manualBreakCount="3">
    <brk id="35" max="255" man="1"/>
    <brk id="71" max="255" man="1"/>
    <brk id="98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75" zoomScaleNormal="75" workbookViewId="0" topLeftCell="A1">
      <selection activeCell="I17" sqref="I17"/>
    </sheetView>
  </sheetViews>
  <sheetFormatPr defaultColWidth="9.140625" defaultRowHeight="12.75"/>
  <cols>
    <col min="1" max="5" width="11.421875" style="0" customWidth="1"/>
    <col min="6" max="6" width="14.00390625" style="0" customWidth="1"/>
    <col min="7" max="16384" width="11.421875" style="0" customWidth="1"/>
  </cols>
  <sheetData>
    <row r="1" ht="15">
      <c r="A1" s="44" t="s">
        <v>127</v>
      </c>
    </row>
    <row r="2" ht="15">
      <c r="A2" s="44" t="s">
        <v>115</v>
      </c>
    </row>
    <row r="3" ht="14.25" customHeight="1" thickBot="1">
      <c r="A3" s="44"/>
    </row>
    <row r="4" spans="1:5" ht="12.75" customHeight="1" thickBot="1">
      <c r="A4" s="44"/>
      <c r="C4" s="148" t="s">
        <v>107</v>
      </c>
      <c r="D4" s="149"/>
      <c r="E4" s="150"/>
    </row>
    <row r="5" spans="1:5" ht="12.75">
      <c r="A5" s="151" t="s">
        <v>106</v>
      </c>
      <c r="B5" s="152"/>
      <c r="C5" s="153" t="s">
        <v>109</v>
      </c>
      <c r="D5" s="154"/>
      <c r="E5" s="155"/>
    </row>
    <row r="6" spans="1:5" ht="13.5" thickBot="1">
      <c r="A6" s="47" t="s">
        <v>108</v>
      </c>
      <c r="B6" s="48" t="s">
        <v>30</v>
      </c>
      <c r="C6" s="47" t="s">
        <v>31</v>
      </c>
      <c r="D6" s="49" t="s">
        <v>32</v>
      </c>
      <c r="E6" s="48" t="s">
        <v>112</v>
      </c>
    </row>
    <row r="7" spans="1:5" ht="13.5" thickTop="1">
      <c r="A7" s="50">
        <v>0</v>
      </c>
      <c r="B7" s="51">
        <v>0</v>
      </c>
      <c r="C7" s="50">
        <v>0.81</v>
      </c>
      <c r="D7" s="52">
        <v>1.11</v>
      </c>
      <c r="E7" s="53">
        <v>1.35</v>
      </c>
    </row>
    <row r="8" spans="1:5" ht="12.75">
      <c r="A8" s="54">
        <f aca="true" t="shared" si="0" ref="A8:A13">+B8/3.28</f>
        <v>15.24390243902439</v>
      </c>
      <c r="B8" s="55">
        <v>50</v>
      </c>
      <c r="C8" s="54">
        <v>1.33</v>
      </c>
      <c r="D8" s="56">
        <v>1.59</v>
      </c>
      <c r="E8" s="57">
        <v>1.9</v>
      </c>
    </row>
    <row r="9" spans="1:5" ht="12.75">
      <c r="A9" s="54">
        <f t="shared" si="0"/>
        <v>30.48780487804878</v>
      </c>
      <c r="B9" s="55">
        <v>100</v>
      </c>
      <c r="C9" s="54">
        <v>1.57</v>
      </c>
      <c r="D9" s="56">
        <v>1.87</v>
      </c>
      <c r="E9" s="57">
        <v>2.29</v>
      </c>
    </row>
    <row r="10" spans="1:5" ht="12.75">
      <c r="A10" s="54">
        <f t="shared" si="0"/>
        <v>45.73170731707317</v>
      </c>
      <c r="B10" s="55">
        <v>150</v>
      </c>
      <c r="C10" s="54">
        <v>1.7</v>
      </c>
      <c r="D10" s="56">
        <v>2.07</v>
      </c>
      <c r="E10" s="57">
        <v>2.51</v>
      </c>
    </row>
    <row r="11" spans="1:5" ht="12.75">
      <c r="A11" s="54">
        <f t="shared" si="0"/>
        <v>60.97560975609756</v>
      </c>
      <c r="B11" s="55">
        <v>200</v>
      </c>
      <c r="C11" s="54">
        <v>1.75</v>
      </c>
      <c r="D11" s="56">
        <v>2.19</v>
      </c>
      <c r="E11" s="57">
        <v>2.71</v>
      </c>
    </row>
    <row r="12" spans="1:5" ht="12.75">
      <c r="A12" s="54">
        <f t="shared" si="0"/>
        <v>76.21951219512195</v>
      </c>
      <c r="B12" s="55">
        <v>250</v>
      </c>
      <c r="C12" s="54">
        <v>1.8</v>
      </c>
      <c r="D12" s="56">
        <v>2.26</v>
      </c>
      <c r="E12" s="57">
        <v>2.83</v>
      </c>
    </row>
    <row r="13" spans="1:5" ht="13.5" thickBot="1">
      <c r="A13" s="58">
        <f t="shared" si="0"/>
        <v>91.46341463414635</v>
      </c>
      <c r="B13" s="59">
        <v>300</v>
      </c>
      <c r="C13" s="58">
        <v>1.8</v>
      </c>
      <c r="D13" s="60">
        <v>2.27</v>
      </c>
      <c r="E13" s="61">
        <v>2.9</v>
      </c>
    </row>
    <row r="39" ht="12.75">
      <c r="A39" t="s">
        <v>114</v>
      </c>
    </row>
    <row r="40" ht="12.75">
      <c r="A40" s="43" t="s">
        <v>113</v>
      </c>
    </row>
    <row r="42" ht="12.75">
      <c r="A42" s="43"/>
    </row>
    <row r="43" ht="12.75">
      <c r="A43" s="45" t="s">
        <v>103</v>
      </c>
    </row>
    <row r="44" ht="12.75">
      <c r="A44" s="46"/>
    </row>
  </sheetData>
  <mergeCells count="3">
    <mergeCell ref="C4:E4"/>
    <mergeCell ref="A5:B5"/>
    <mergeCell ref="C5:E5"/>
  </mergeCells>
  <printOptions/>
  <pageMargins left="0.75" right="0.75" top="1" bottom="1" header="0.4921259845" footer="0.4921259845"/>
  <pageSetup horizontalDpi="600" verticalDpi="600" orientation="portrait" scale="110" r:id="rId2"/>
  <headerFooter alignWithMargins="0">
    <oddFooter>&amp;LFile:  &amp;F
Sheet:  &amp;A
Page &amp;P of &amp;N&amp;CExperimental Mine
Val-d'Or&amp;R&amp;D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NRCan-RNCan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Roger Lacroix</cp:lastModifiedBy>
  <cp:lastPrinted>2002-12-11T17:05:39Z</cp:lastPrinted>
  <dcterms:created xsi:type="dcterms:W3CDTF">2000-12-07T17:12:01Z</dcterms:created>
  <dcterms:modified xsi:type="dcterms:W3CDTF">2005-01-17T15:07:06Z</dcterms:modified>
  <cp:category/>
  <cp:version/>
  <cp:contentType/>
  <cp:contentStatus/>
</cp:coreProperties>
</file>