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firstSheet="3" activeTab="4"/>
  </bookViews>
  <sheets>
    <sheet name="Résumé" sheetId="1" r:id="rId1"/>
    <sheet name="Coûts" sheetId="2" r:id="rId2"/>
    <sheet name="Longs Trous" sheetId="3" r:id="rId3"/>
    <sheet name="Forage_Prod" sheetId="4" r:id="rId4"/>
    <sheet name="Forage_Mont Asc" sheetId="5" r:id="rId5"/>
    <sheet name="Forage_Câbles" sheetId="6" r:id="rId6"/>
    <sheet name="Dessin" sheetId="7" r:id="rId7"/>
  </sheets>
  <definedNames>
    <definedName name="_xlnm.Print_Area" localSheetId="5">'Forage_Câbles'!$A$4:$T$94</definedName>
    <definedName name="_xlnm.Print_Area" localSheetId="4">'Forage_Mont Asc'!$A$5:$U$60</definedName>
    <definedName name="_xlnm.Print_Area" localSheetId="3">'Forage_Prod'!$A$5:$T$85</definedName>
    <definedName name="_xlnm.Print_Area" localSheetId="2">'Longs Trous'!$A$5:$M$326</definedName>
    <definedName name="_xlnm.Print_Titles" localSheetId="5">'Forage_Câbles'!$2:$3</definedName>
    <definedName name="_xlnm.Print_Titles" localSheetId="4">'Forage_Mont Asc'!$2:$4</definedName>
    <definedName name="_xlnm.Print_Titles" localSheetId="3">'Forage_Prod'!$2:$4</definedName>
    <definedName name="_xlnm.Print_Titles" localSheetId="2">'Longs Trous'!$1:$4</definedName>
    <definedName name="Z_43E77F05_9955_11D4_9758_00B0D01AB7C9_.wvu.PrintArea" localSheetId="2" hidden="1">'Longs Trous'!$A$5:$L$301</definedName>
    <definedName name="Z_43E77F05_9955_11D4_9758_00B0D01AB7C9_.wvu.PrintTitles" localSheetId="2" hidden="1">'Longs Trous'!$1:$4</definedName>
  </definedNames>
  <calcPr fullCalcOnLoad="1"/>
</workbook>
</file>

<file path=xl/comments3.xml><?xml version="1.0" encoding="utf-8"?>
<comments xmlns="http://schemas.openxmlformats.org/spreadsheetml/2006/main">
  <authors>
    <author>rolacroi</author>
  </authors>
  <commentList>
    <comment ref="L135" authorId="0">
      <text>
        <r>
          <rPr>
            <b/>
            <sz val="10"/>
            <rFont val="Tahoma"/>
            <family val="2"/>
          </rPr>
          <t>Les temps inclus dans cette section diminuent le temps de forage disponible par quart</t>
        </r>
      </text>
    </comment>
    <comment ref="C104" authorId="0">
      <text>
        <r>
          <rPr>
            <b/>
            <sz val="10"/>
            <rFont val="Tahoma"/>
            <family val="2"/>
          </rPr>
          <t>Dans le sens du sous-niveau</t>
        </r>
      </text>
    </comment>
    <comment ref="D104" authorId="0">
      <text>
        <r>
          <rPr>
            <b/>
            <sz val="10"/>
            <rFont val="Tahoma"/>
            <family val="2"/>
          </rPr>
          <t>Dans le sens perpendiculaire au sous-niveau</t>
        </r>
      </text>
    </comment>
    <comment ref="B117" authorId="0">
      <text>
        <r>
          <rPr>
            <b/>
            <sz val="11"/>
            <rFont val="Tahoma"/>
            <family val="2"/>
          </rPr>
          <t xml:space="preserve">Longueur totale à dynamiter, incluant les monteries ascendantes. Toutefois, il faut enlever les monteries déjà ouvertes.
</t>
        </r>
      </text>
    </comment>
    <comment ref="K116" authorId="0">
      <text>
        <r>
          <rPr>
            <b/>
            <sz val="10"/>
            <rFont val="Tahoma"/>
            <family val="2"/>
          </rPr>
          <t xml:space="preserve">Ajuster le nombre de rangées par sautage afin d'obtenir un nombre entier de sautages
</t>
        </r>
      </text>
    </comment>
    <comment ref="J131" authorId="0">
      <text>
        <r>
          <rPr>
            <b/>
            <u val="single"/>
            <sz val="10"/>
            <rFont val="Tahoma"/>
            <family val="2"/>
          </rPr>
          <t>Voir les onglets</t>
        </r>
        <r>
          <rPr>
            <b/>
            <sz val="10"/>
            <rFont val="Tahoma"/>
            <family val="2"/>
          </rPr>
          <t xml:space="preserve"> :
Forage_Prod pour le forage de production
Forage_Mont Asc pour le forage de monteries ascendantes
</t>
        </r>
      </text>
    </comment>
    <comment ref="F103" authorId="0">
      <text>
        <r>
          <rPr>
            <b/>
            <sz val="11"/>
            <rFont val="Tahoma"/>
            <family val="2"/>
          </rPr>
          <t>Inclure les trous pilotes qui devront être alésés.
Les trous supplémentaires requis pour ouvrir la monterie à pleine largeur doivent être inclus (si nécessaire).</t>
        </r>
      </text>
    </comment>
    <comment ref="J132" authorId="0">
      <text>
        <r>
          <rPr>
            <b/>
            <sz val="10"/>
            <rFont val="Tahoma"/>
            <family val="2"/>
          </rPr>
          <t>Inclut le forage des trous alésés</t>
        </r>
      </text>
    </comment>
    <comment ref="M209" authorId="0">
      <text>
        <r>
          <rPr>
            <b/>
            <sz val="11"/>
            <rFont val="Tahoma"/>
            <family val="2"/>
          </rPr>
          <t xml:space="preserve">Inscrire le nombre d'hommes de référence pour le transport et chargement d'explosifs
</t>
        </r>
        <r>
          <rPr>
            <sz val="11"/>
            <rFont val="Tahoma"/>
            <family val="2"/>
          </rPr>
          <t xml:space="preserve">
</t>
        </r>
      </text>
    </comment>
    <comment ref="E178" authorId="0">
      <text>
        <r>
          <rPr>
            <b/>
            <sz val="9"/>
            <rFont val="Tahoma"/>
            <family val="2"/>
          </rPr>
          <t>Les rangées Longs Trous seulement</t>
        </r>
        <r>
          <rPr>
            <sz val="9"/>
            <rFont val="Tahoma"/>
            <family val="2"/>
          </rPr>
          <t xml:space="preserve">
</t>
        </r>
      </text>
    </comment>
    <comment ref="B145" authorId="0">
      <text>
        <r>
          <rPr>
            <b/>
            <sz val="10"/>
            <rFont val="Tahoma"/>
            <family val="2"/>
          </rPr>
          <t>Inclut le forage des trous alésés</t>
        </r>
      </text>
    </comment>
    <comment ref="B168" authorId="0">
      <text>
        <r>
          <rPr>
            <b/>
            <u val="single"/>
            <sz val="10"/>
            <rFont val="Tahoma"/>
            <family val="2"/>
          </rPr>
          <t>Voir l'onglet</t>
        </r>
        <r>
          <rPr>
            <b/>
            <sz val="10"/>
            <rFont val="Tahoma"/>
            <family val="2"/>
          </rPr>
          <t xml:space="preserve"> : Forage_Câbles 
pour la productivité de forage pour les câbles d'ancrage</t>
        </r>
      </text>
    </comment>
    <comment ref="K165" authorId="0">
      <text>
        <r>
          <rPr>
            <b/>
            <sz val="10"/>
            <rFont val="Tahoma"/>
            <family val="2"/>
          </rPr>
          <t xml:space="preserve">Temps total par trou
</t>
        </r>
      </text>
    </comment>
    <comment ref="E117" authorId="0">
      <text>
        <r>
          <rPr>
            <b/>
            <sz val="11"/>
            <rFont val="Tahoma"/>
            <family val="2"/>
          </rPr>
          <t>La surface moyenne doit inclure la dilution prévue</t>
        </r>
      </text>
    </comment>
  </commentList>
</comments>
</file>

<file path=xl/comments4.xml><?xml version="1.0" encoding="utf-8"?>
<comments xmlns="http://schemas.openxmlformats.org/spreadsheetml/2006/main">
  <authors>
    <author>rolacroi</author>
  </authors>
  <commentList>
    <comment ref="A78" authorId="0">
      <text>
        <r>
          <rPr>
            <b/>
            <sz val="16"/>
            <rFont val="Tahoma"/>
            <family val="2"/>
          </rPr>
          <t xml:space="preserve">Inscrire le nombre requis de déplacements du transporteur sur la même rangée. 
</t>
        </r>
        <r>
          <rPr>
            <b/>
            <u val="single"/>
            <sz val="16"/>
            <rFont val="Tahoma"/>
            <family val="2"/>
          </rPr>
          <t>Le temps de déplacement entre les rangées est déjà inclus dans les calculs.</t>
        </r>
        <r>
          <rPr>
            <sz val="16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16"/>
            <rFont val="Tahoma"/>
            <family val="2"/>
          </rPr>
          <t>Ajuster le temps en fonction du taux de pénétration et de la longueur de la tige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rolacroi</author>
  </authors>
  <commentList>
    <comment ref="A53" authorId="0">
      <text>
        <r>
          <rPr>
            <b/>
            <sz val="13"/>
            <rFont val="Tahoma"/>
            <family val="2"/>
          </rPr>
          <t>Seulement pour le forage de trous à gros diamètre. 
Si l'on doit faire des trous pilotes avant de forer le gros diamètre, ceux-ci devront être ajoutés à la première ligne.</t>
        </r>
      </text>
    </comment>
    <comment ref="E56" authorId="0">
      <text>
        <r>
          <rPr>
            <b/>
            <sz val="13"/>
            <rFont val="Tahoma"/>
            <family val="2"/>
          </rPr>
          <t xml:space="preserve">Inscrire le nombre total de déplacements supplémentaires du transporteur sur toutes les rangées.  
</t>
        </r>
        <r>
          <rPr>
            <b/>
            <u val="single"/>
            <sz val="13"/>
            <rFont val="Tahoma"/>
            <family val="2"/>
          </rPr>
          <t>Le temps de déplacement entre les rangées est déjà inclus dans les calculs.</t>
        </r>
      </text>
    </comment>
    <comment ref="B10" authorId="0">
      <text>
        <r>
          <rPr>
            <b/>
            <sz val="16"/>
            <rFont val="Tahoma"/>
            <family val="2"/>
          </rPr>
          <t>Ajuster le temps en fonction du taux de pénétration et de la longueur de la tige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rolacroi</author>
  </authors>
  <commentList>
    <comment ref="B9" authorId="0">
      <text>
        <r>
          <rPr>
            <b/>
            <sz val="16"/>
            <rFont val="Tahoma"/>
            <family val="2"/>
          </rPr>
          <t>Ajuster le temps en fonction du taux de pénétration et de la longueur de la tige</t>
        </r>
        <r>
          <rPr>
            <sz val="16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16"/>
            <rFont val="Tahoma"/>
            <family val="2"/>
          </rPr>
          <t xml:space="preserve">Inscrire le nombre requis de déplacements du transporteur sur la même rangée. 
</t>
        </r>
        <r>
          <rPr>
            <b/>
            <u val="single"/>
            <sz val="16"/>
            <rFont val="Tahoma"/>
            <family val="2"/>
          </rPr>
          <t>Le temps de déplacement entre les rangées est déjà inclus dans les calculs.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<sst xmlns="http://schemas.openxmlformats.org/spreadsheetml/2006/main" count="852" uniqueCount="438">
  <si>
    <t>Lunch</t>
  </si>
  <si>
    <t>FORAGE</t>
  </si>
  <si>
    <t>min</t>
  </si>
  <si>
    <t>tonnes</t>
  </si>
  <si>
    <t>heures</t>
  </si>
  <si>
    <t>heures/quart</t>
  </si>
  <si>
    <t>SAUTAGE</t>
  </si>
  <si>
    <t>AUTRES</t>
  </si>
  <si>
    <t>NOTES</t>
  </si>
  <si>
    <t xml:space="preserve">AUTRES ACTIVITÉS </t>
  </si>
  <si>
    <t>densité du minerai (t/m³)</t>
  </si>
  <si>
    <t>heures-hommes</t>
  </si>
  <si>
    <t xml:space="preserve"> +</t>
  </si>
  <si>
    <t xml:space="preserve"> =</t>
  </si>
  <si>
    <t>+</t>
  </si>
  <si>
    <t>=</t>
  </si>
  <si>
    <t>DANS LE CHANTIER</t>
  </si>
  <si>
    <t>HORS CHANTIER</t>
  </si>
  <si>
    <t>TOTAL</t>
  </si>
  <si>
    <t>PRODUCTIF</t>
  </si>
  <si>
    <t>IMPRÉVUS</t>
  </si>
  <si>
    <t xml:space="preserve">FIXES </t>
  </si>
  <si>
    <t>Nbre mont asc.</t>
  </si>
  <si>
    <t>Dynamitage</t>
  </si>
  <si>
    <t>Largeur</t>
  </si>
  <si>
    <t>Surface moy.</t>
  </si>
  <si>
    <t>Longueur réelle</t>
  </si>
  <si>
    <t xml:space="preserve">Longueur </t>
  </si>
  <si>
    <t>sautages</t>
  </si>
  <si>
    <t>de trous</t>
  </si>
  <si>
    <t xml:space="preserve">min </t>
  </si>
  <si>
    <t xml:space="preserve">Nbre de </t>
  </si>
  <si>
    <t>tiges</t>
  </si>
  <si>
    <t>oui=1,  non=0</t>
  </si>
  <si>
    <t>Productivité moyenne</t>
  </si>
  <si>
    <t>mm</t>
  </si>
  <si>
    <t>Longueur</t>
  </si>
  <si>
    <t xml:space="preserve"> rangées</t>
  </si>
  <si>
    <t>Sous-niveaux</t>
  </si>
  <si>
    <t>3.0 - ACTIVITÉS DIRECTES FIXES PAR CHANTIER</t>
  </si>
  <si>
    <t xml:space="preserve">RELIÉES AU NETTOYAGE </t>
  </si>
  <si>
    <t xml:space="preserve"> %</t>
  </si>
  <si>
    <t>Chargement</t>
  </si>
  <si>
    <t>Nbre moyen de</t>
  </si>
  <si>
    <t>le chargement</t>
  </si>
  <si>
    <t>Fixes</t>
  </si>
  <si>
    <t>Variables</t>
  </si>
  <si>
    <t>PLANCHER</t>
  </si>
  <si>
    <t>MONT. ASCENDANTES</t>
  </si>
  <si>
    <t>REFORAGE</t>
  </si>
  <si>
    <t xml:space="preserve">MOBILISATION &amp; </t>
  </si>
  <si>
    <t xml:space="preserve">à </t>
  </si>
  <si>
    <t>7.0 - Pour le forage typique en monterie ascendante</t>
  </si>
  <si>
    <t>7.0 - Pour une rangée typique</t>
  </si>
  <si>
    <t>Nbre de tonnes</t>
  </si>
  <si>
    <t>Nbre tonnes</t>
  </si>
  <si>
    <t>RELIÉES À LA MOBILISATION</t>
  </si>
  <si>
    <t>Facteur Poudre</t>
  </si>
  <si>
    <t>Mobilisation &amp;</t>
  </si>
  <si>
    <t>Démobilisation</t>
  </si>
  <si>
    <t>Productivité</t>
  </si>
  <si>
    <t>quarts</t>
  </si>
  <si>
    <t>par foreuse</t>
  </si>
  <si>
    <t>Un homme par foreuse</t>
  </si>
  <si>
    <t>6.0 - STATISTIQUES DU CHANTIER</t>
  </si>
  <si>
    <t>1.0 - Calcul du temps moyen de forage par tige</t>
  </si>
  <si>
    <t xml:space="preserve">Nombre de fois  </t>
  </si>
  <si>
    <t>NETTOYER</t>
  </si>
  <si>
    <t>par défaut</t>
  </si>
  <si>
    <t>*</t>
  </si>
  <si>
    <t>Transport</t>
  </si>
  <si>
    <t>TONNES</t>
  </si>
  <si>
    <t xml:space="preserve">TOTAL </t>
  </si>
  <si>
    <t>5.2 - CALCUL DE LA PRODUCTIVITÉ POUR LE CHANTIER</t>
  </si>
  <si>
    <t>HEURES-HOMMES TOTALES REQUISES</t>
  </si>
  <si>
    <t xml:space="preserve"> ============&gt;</t>
  </si>
  <si>
    <t xml:space="preserve">PRODUCTIVITÉ </t>
  </si>
  <si>
    <t xml:space="preserve">Temps moyen d'installation </t>
  </si>
  <si>
    <t>Longueur totale</t>
  </si>
  <si>
    <t>Forage</t>
  </si>
  <si>
    <t>Installation</t>
  </si>
  <si>
    <t>INSTALL.</t>
  </si>
  <si>
    <t>54 mm</t>
  </si>
  <si>
    <t>MONTERIES</t>
  </si>
  <si>
    <t xml:space="preserve">Chargement </t>
  </si>
  <si>
    <t xml:space="preserve">Nettoyage </t>
  </si>
  <si>
    <t>MODULE :  SUPPORT, FORAGE, SAUTAGE</t>
  </si>
  <si>
    <t>INSTALLATION</t>
  </si>
  <si>
    <t>Nbre de trous</t>
  </si>
  <si>
    <t xml:space="preserve">2 - Matériel </t>
  </si>
  <si>
    <t>boulons mécaniques</t>
  </si>
  <si>
    <t>grillage</t>
  </si>
  <si>
    <t>total support :</t>
  </si>
  <si>
    <t>mécanique</t>
  </si>
  <si>
    <t>électrique</t>
  </si>
  <si>
    <t xml:space="preserve">RÉPARTITION DES COÛTS UNITAIRES PAR ACTIVITÉ </t>
  </si>
  <si>
    <t>1.0 - ACTIVITÉS DIRECTES FIXES PAR QUART (hors chantier)</t>
  </si>
  <si>
    <t>Fermer l'accès au chantier</t>
  </si>
  <si>
    <t>Ranger le matériel</t>
  </si>
  <si>
    <t>minutes</t>
  </si>
  <si>
    <t>Cage (début et fin de quart)</t>
  </si>
  <si>
    <t>Aller-retour au chantier</t>
  </si>
  <si>
    <t>Supervision</t>
  </si>
  <si>
    <t>Planification du travail</t>
  </si>
  <si>
    <t>Préparer la glissoire et lieux de travail</t>
  </si>
  <si>
    <t>Assembler la foreuse</t>
  </si>
  <si>
    <t>Entretien mécanique de la foreuse (à chaque quart)</t>
  </si>
  <si>
    <t>Autres vérifications</t>
  </si>
  <si>
    <t>MOBILISATION ET</t>
  </si>
  <si>
    <t>Longs Trous</t>
  </si>
  <si>
    <t xml:space="preserve"> Longs Trous (heures)</t>
  </si>
  <si>
    <t>LONGS TROUS</t>
  </si>
  <si>
    <t>de câbles (m)</t>
  </si>
  <si>
    <t>de câbles d'ancrage</t>
  </si>
  <si>
    <t>Explosifs (kg)</t>
  </si>
  <si>
    <t xml:space="preserve">heures </t>
  </si>
  <si>
    <t>Vérifier la ligne de dynamitage</t>
  </si>
  <si>
    <t>CÂBLES</t>
  </si>
  <si>
    <t xml:space="preserve"> DÉMOBILISATION</t>
  </si>
  <si>
    <t>Salaire ($/heure)</t>
  </si>
  <si>
    <t>Heures/quart</t>
  </si>
  <si>
    <t xml:space="preserve"> $/tonne</t>
  </si>
  <si>
    <t>câbles, ciment et forage</t>
  </si>
  <si>
    <t>béton projeté</t>
  </si>
  <si>
    <t>Total/tonne</t>
  </si>
  <si>
    <t>heures/sautage</t>
  </si>
  <si>
    <t>ET DÉMOBILISATION</t>
  </si>
  <si>
    <t>Mécaniciens et électriciens</t>
  </si>
  <si>
    <t xml:space="preserve">Nombre d'hommes requis </t>
  </si>
  <si>
    <t>Sous-niveaux de forage</t>
  </si>
  <si>
    <t>Nombre de trous à charger</t>
  </si>
  <si>
    <t>Kg d'explosifs</t>
  </si>
  <si>
    <t>Kg d'explosifs/sautage</t>
  </si>
  <si>
    <t>Nombre d'amorces/trou</t>
  </si>
  <si>
    <t>TONNES/QUART</t>
  </si>
  <si>
    <t>NOMBRE DE SAUTAGES/QUART</t>
  </si>
  <si>
    <t>NOMBRE DE RANGÉES/QUART</t>
  </si>
  <si>
    <t>a - Nettoyage/trou</t>
  </si>
  <si>
    <t>c - Amorçage simple/trou</t>
  </si>
  <si>
    <t>d - Vérification des collets/trou</t>
  </si>
  <si>
    <t>NOMBRE D'HOMMES DE RÉFÉRENCE</t>
  </si>
  <si>
    <t>Heures d'activités fixes</t>
  </si>
  <si>
    <t>Heures d'activités variables</t>
  </si>
  <si>
    <t>Nombre d'heures par quart (horaire)</t>
  </si>
  <si>
    <t>HEURES-HOMMES</t>
  </si>
  <si>
    <t>min/trou</t>
  </si>
  <si>
    <t>de câbles</t>
  </si>
  <si>
    <t>CALCUL DE PRODUCTIVITÉ DE CHANTIER</t>
  </si>
  <si>
    <t>longueur de la tige (m)</t>
  </si>
  <si>
    <t>Diam (mm)</t>
  </si>
  <si>
    <t>MODULE : SUPPORT, FORAGE, SAUTAGE</t>
  </si>
  <si>
    <t>Prime ($/heure)</t>
  </si>
  <si>
    <t>Avantages sociaux</t>
  </si>
  <si>
    <t>Total ($/heure)</t>
  </si>
  <si>
    <t>Explosifs et accessoires</t>
  </si>
  <si>
    <t>Support</t>
  </si>
  <si>
    <t>barres d'armature et résine</t>
  </si>
  <si>
    <t>Split-Set</t>
  </si>
  <si>
    <t>Swellex</t>
  </si>
  <si>
    <t>Boisage</t>
  </si>
  <si>
    <t>Voie ferrée</t>
  </si>
  <si>
    <t>Tuyaux</t>
  </si>
  <si>
    <t>Ventilation</t>
  </si>
  <si>
    <t>Fournitures diverses</t>
  </si>
  <si>
    <t>3 - Entretien de l'équipement</t>
  </si>
  <si>
    <t>diesel et lubrifiants</t>
  </si>
  <si>
    <t>Déplacements (puits - refuge - puits)</t>
  </si>
  <si>
    <t>Autres délais de déplacements</t>
  </si>
  <si>
    <t>Remplir les rapports journaliers</t>
  </si>
  <si>
    <t>Temps                 (min)/unité</t>
  </si>
  <si>
    <t>Temps total            (min)</t>
  </si>
  <si>
    <t>Fréquence ou                unités</t>
  </si>
  <si>
    <t>Deux endroits de travail par sous-niveau</t>
  </si>
  <si>
    <t>Trois sous-niveaux espacés de 6 mètres (plancher/plafond)</t>
  </si>
  <si>
    <t>2.0 - ACTIVITÉS DIRECTES FIXES PAR ÉTAPE (dans le chantier)</t>
  </si>
  <si>
    <t>RELIÉES AU SAUTAGE</t>
  </si>
  <si>
    <t>Réparer et installer ventilation</t>
  </si>
  <si>
    <t>Apporter et préparer le matériel</t>
  </si>
  <si>
    <t>Nettoyer le plancher suite au sautage</t>
  </si>
  <si>
    <t>Ranger équipement et explosifs</t>
  </si>
  <si>
    <t>heures/sous-niveau</t>
  </si>
  <si>
    <t>des sous-niveaux</t>
  </si>
  <si>
    <t>Arpenteurs</t>
  </si>
  <si>
    <t>Géologues</t>
  </si>
  <si>
    <t>Hauteur</t>
  </si>
  <si>
    <t>Nombre de mètres forés</t>
  </si>
  <si>
    <t>Nbre de sautages</t>
  </si>
  <si>
    <t>RELIÉES À L'INSTALLATION</t>
  </si>
  <si>
    <t>minutes/sous-niveau</t>
  </si>
  <si>
    <t>minutes/sautage</t>
  </si>
  <si>
    <t>Apporter/descendre foreuse au sous-niveau</t>
  </si>
  <si>
    <t xml:space="preserve">Démonter et sortir la foreuse du sous-niveau </t>
  </si>
  <si>
    <t>Enlever les services électriques</t>
  </si>
  <si>
    <t>Installer les services électriques</t>
  </si>
  <si>
    <t>PAR CHANTIER</t>
  </si>
  <si>
    <t>Réparer l'accès principal</t>
  </si>
  <si>
    <t>4.0 - ACTIVITÉS DIRECTES VARIABLES PAR ÉTAPE (dans le chantier)</t>
  </si>
  <si>
    <t>Temps de</t>
  </si>
  <si>
    <t>Productivité (mètres linéaires/heure)</t>
  </si>
  <si>
    <t>4.2 - Paramètres du chantier</t>
  </si>
  <si>
    <t>4.3 - Forage</t>
  </si>
  <si>
    <t>4.5 - Sautage</t>
  </si>
  <si>
    <t>4.5.1 - Paramètres de chargement</t>
  </si>
  <si>
    <t>4.5.2 - Temps de chargement</t>
  </si>
  <si>
    <t>5.0 - RÉSUMÉ POUR LE CHANTIER</t>
  </si>
  <si>
    <t>(dans le chantier)</t>
  </si>
  <si>
    <t>MONTERIES ASCENDANTES</t>
  </si>
  <si>
    <t>réf. section 2.0</t>
  </si>
  <si>
    <t>réf. section 3.0</t>
  </si>
  <si>
    <t>réf. section 4.1</t>
  </si>
  <si>
    <t>réf. section 4.3</t>
  </si>
  <si>
    <t>réf. section 4.5.2</t>
  </si>
  <si>
    <t>réf. section 4.4</t>
  </si>
  <si>
    <t>6.1 - ÉLÉMENTS DE PLANIFICATION DU CHANTIER</t>
  </si>
  <si>
    <t>Forage (m/q)</t>
  </si>
  <si>
    <t>Chantier de 3 mètres de large</t>
  </si>
  <si>
    <t>Monteries ascendantes</t>
  </si>
  <si>
    <t>Monteries ascendantes -&gt;</t>
  </si>
  <si>
    <t xml:space="preserve">MONTERIES ASCENDANTES  </t>
  </si>
  <si>
    <t xml:space="preserve">LONGS TROUS  </t>
  </si>
  <si>
    <t>DONC, SELON LE NOMBRE D'HOMMES ENTRÉ, ON OBTIENT :</t>
  </si>
  <si>
    <t>Nombre d'hommes (forage)</t>
  </si>
  <si>
    <t>Nombre de</t>
  </si>
  <si>
    <t>ascendante</t>
  </si>
  <si>
    <t>/monterie</t>
  </si>
  <si>
    <t>dynamités</t>
  </si>
  <si>
    <t>/sautage</t>
  </si>
  <si>
    <t>Trous</t>
  </si>
  <si>
    <t>Tonnes</t>
  </si>
  <si>
    <t>Espacement</t>
  </si>
  <si>
    <t>mètres forés</t>
  </si>
  <si>
    <t>Nombre total de</t>
  </si>
  <si>
    <t>Nombre total</t>
  </si>
  <si>
    <t>Nombre de mètres</t>
  </si>
  <si>
    <t>tonnes/mètre</t>
  </si>
  <si>
    <t>Temps de forage (heures)</t>
  </si>
  <si>
    <t>Mont. ascend.</t>
  </si>
  <si>
    <t>Mont. asc.</t>
  </si>
  <si>
    <t>Productivité (mètres/heure)</t>
  </si>
  <si>
    <t>Vérifier les boulons de la table, glissoire, etc.</t>
  </si>
  <si>
    <t>Vérifier le niveau d'huile hydraulique</t>
  </si>
  <si>
    <t xml:space="preserve">Temps moyen pour l'entretien par quart </t>
  </si>
  <si>
    <t>&lt;- Longs Trous</t>
  </si>
  <si>
    <t>Productivité moyenne (mètres/quart) *</t>
  </si>
  <si>
    <t>Heures</t>
  </si>
  <si>
    <t>Nombre de trous</t>
  </si>
  <si>
    <t>Nombre de câbles</t>
  </si>
  <si>
    <t>/trou</t>
  </si>
  <si>
    <t>Nbre mètres forés</t>
  </si>
  <si>
    <t>forage (heures)</t>
  </si>
  <si>
    <t>Temps (min)</t>
  </si>
  <si>
    <t>b - Cimenter le collet par trou</t>
  </si>
  <si>
    <t>d - Installer la plaque et tensionner par trou</t>
  </si>
  <si>
    <t>Nombre d'hommes (installation)</t>
  </si>
  <si>
    <t>Mètre de câble/tonne de Longs Trous</t>
  </si>
  <si>
    <t>* La productivité moyenne inclut : le forage, l'entretien journalier, les temps fixes par quart et les imprévus.</t>
  </si>
  <si>
    <t>NOTE : La productivité moyenne inclut : le forage, l'entretien journalier, les temps fixes par quart et les imprévus.</t>
  </si>
  <si>
    <t xml:space="preserve">Longueur non </t>
  </si>
  <si>
    <t>Nombre de mètres à charger</t>
  </si>
  <si>
    <t>Densité de l'explosif (g/cc)</t>
  </si>
  <si>
    <t>Diamètre des trous (mm)</t>
  </si>
  <si>
    <t>Kg d'explosifs/mètre</t>
  </si>
  <si>
    <t>Facteur poudre (kg/tonne)</t>
  </si>
  <si>
    <t xml:space="preserve"> Monteries ascendantes (heures)</t>
  </si>
  <si>
    <t>Temps (minutes)</t>
  </si>
  <si>
    <t>Productivité de chargement (kg/heure)</t>
  </si>
  <si>
    <t>Transport des explosifs au lieu de chargement (kg/heure)</t>
  </si>
  <si>
    <r>
      <t>NOTE</t>
    </r>
    <r>
      <rPr>
        <b/>
        <sz val="10"/>
        <rFont val="Arial"/>
        <family val="2"/>
      </rPr>
      <t xml:space="preserve"> :</t>
    </r>
  </si>
  <si>
    <t xml:space="preserve"> - temps fixes : les items a,b,c,d,e</t>
  </si>
  <si>
    <t>rangées/quart</t>
  </si>
  <si>
    <t>tonnes/quart</t>
  </si>
  <si>
    <t>sautages/quart</t>
  </si>
  <si>
    <t>mètres/quart</t>
  </si>
  <si>
    <t>DÉMOBILISATION</t>
  </si>
  <si>
    <t>DIRECTES VARIABLES    (heures)</t>
  </si>
  <si>
    <t>DIRECTES VARIABLES    (heures) *</t>
  </si>
  <si>
    <t>heures-hommes requises dans le chantier</t>
  </si>
  <si>
    <t>heures-hommes requises d'activités directes fixes (hors chantier)</t>
  </si>
  <si>
    <t>total (heures-hommes)</t>
  </si>
  <si>
    <t>TOTAL (quarts-hommes)</t>
  </si>
  <si>
    <t>a - Insérer câbles et boyaux par trou</t>
  </si>
  <si>
    <t>c - Injecter le ciment par trou</t>
  </si>
  <si>
    <t>mètres/heure</t>
  </si>
  <si>
    <t>b - Bloquage du fond de trou/trou</t>
  </si>
  <si>
    <t xml:space="preserve"> Un homme par défaut</t>
  </si>
  <si>
    <t>Un homme</t>
  </si>
  <si>
    <t>tonnes/quart-homme</t>
  </si>
  <si>
    <t xml:space="preserve">Mètres forés </t>
  </si>
  <si>
    <t>(kg/tonne)</t>
  </si>
  <si>
    <t>Tonnes/m foré</t>
  </si>
  <si>
    <t>Mètres</t>
  </si>
  <si>
    <t>Nettoyage du plancher</t>
  </si>
  <si>
    <t>du plancher</t>
  </si>
  <si>
    <t>CALCUL DE LA PRODUCTIVITÉ DE FORAGE DE PRODUCTION</t>
  </si>
  <si>
    <t>min/m foré</t>
  </si>
  <si>
    <t>temps moyen par mètre foré</t>
  </si>
  <si>
    <t>2.0 - Utilisation de tubage</t>
  </si>
  <si>
    <t>minutes/tubage</t>
  </si>
  <si>
    <t>Terrain fracturé</t>
  </si>
  <si>
    <t>Nombre de déplacements du transporteur sur la même rangée</t>
  </si>
  <si>
    <t>Position</t>
  </si>
  <si>
    <t>Tubage</t>
  </si>
  <si>
    <t>Temps de forage (min)</t>
  </si>
  <si>
    <t>Déplacements (min)</t>
  </si>
  <si>
    <t>Positionnement</t>
  </si>
  <si>
    <t>Défonçage</t>
  </si>
  <si>
    <t>Rangée</t>
  </si>
  <si>
    <t xml:space="preserve"> pieds/heure</t>
  </si>
  <si>
    <t>nettoyage (h)</t>
  </si>
  <si>
    <t>Graisses et lubrifiants</t>
  </si>
  <si>
    <t># hommes</t>
  </si>
  <si>
    <t>Diamètre des trous forés (mm)</t>
  </si>
  <si>
    <t>Production</t>
  </si>
  <si>
    <t>Alésage</t>
  </si>
  <si>
    <t>mètre de câble/tonne</t>
  </si>
  <si>
    <t xml:space="preserve"> MÈTRES D'AVANCE/QUART</t>
  </si>
  <si>
    <t>NOMBRE D'HOMMES PRÉVUS</t>
  </si>
  <si>
    <t>3.0 - Défonçage de trou</t>
  </si>
  <si>
    <t>min/trou défoncé</t>
  </si>
  <si>
    <t xml:space="preserve"> sans changer la position du transporteur</t>
  </si>
  <si>
    <t>Déplacer le transporteur</t>
  </si>
  <si>
    <t>Vérifier l'alignement du transporteur</t>
  </si>
  <si>
    <t>Ajuster le pendage de la table (pendage de la rangée)</t>
  </si>
  <si>
    <t>Desserrer la glissoire et ajuster le pendage</t>
  </si>
  <si>
    <t>Resserrer la glissoire et vérifier le pendage</t>
  </si>
  <si>
    <t>Insérer la tige</t>
  </si>
  <si>
    <t>Changement de tige</t>
  </si>
  <si>
    <t>de forage</t>
  </si>
  <si>
    <t>Temps fixes moyens pour</t>
  </si>
  <si>
    <t>CALCUL DE LA PRODUCTIVITÉ DE FORAGE EN MONTERIE ASCENDANTE</t>
  </si>
  <si>
    <t>Desserrer la tige</t>
  </si>
  <si>
    <t>Ranger la tige</t>
  </si>
  <si>
    <t>Insérer le tubage</t>
  </si>
  <si>
    <t>Enlever la tige avec trépan pour le tubage</t>
  </si>
  <si>
    <t>Vérifier la position de la foreuse</t>
  </si>
  <si>
    <t>minutes/mètre foré</t>
  </si>
  <si>
    <t>défoncé</t>
  </si>
  <si>
    <t>à l'autre ou sur la même rangée</t>
  </si>
  <si>
    <t xml:space="preserve"> à l'autre ou sur la même rangée</t>
  </si>
  <si>
    <t>DIAMÈTRE (mm)</t>
  </si>
  <si>
    <t>Longueur des tiges (m)</t>
  </si>
  <si>
    <t>Longueur des trous (m)</t>
  </si>
  <si>
    <t>/rangée</t>
  </si>
  <si>
    <t>Nbre de</t>
  </si>
  <si>
    <t>Nombre total de déplacements supplémentaires du transporteur</t>
  </si>
  <si>
    <t># positions</t>
  </si>
  <si>
    <t>Diamètre du trou (mm)</t>
  </si>
  <si>
    <t>Insérer la tige avec trépan pour le tubage</t>
  </si>
  <si>
    <t>Fréquence ou  unités</t>
  </si>
  <si>
    <t>hommes</t>
  </si>
  <si>
    <t>ASCENDANTES</t>
  </si>
  <si>
    <t xml:space="preserve"> *   Le nombre d'hommes prévus peut être différent de celui inscrit dans chaque section. Si le nombre est différent, </t>
  </si>
  <si>
    <t>Forage (Longs Trous)</t>
  </si>
  <si>
    <t>$/m foré en câbles</t>
  </si>
  <si>
    <t>$/m foré en Longs Trous</t>
  </si>
  <si>
    <t>Main-d'oeuvre seulement</t>
  </si>
  <si>
    <t>1 - Main-d'oeuvre</t>
  </si>
  <si>
    <t>Raccorder le sautage</t>
  </si>
  <si>
    <t>Écaillage extra</t>
  </si>
  <si>
    <t>Vérification des accès suite au sautage</t>
  </si>
  <si>
    <t>4.2.2 - Paramètres de forage et de dynamitage des rangées de production</t>
  </si>
  <si>
    <t>entre les rangées</t>
  </si>
  <si>
    <t>rangées</t>
  </si>
  <si>
    <t>Nombre de rangées</t>
  </si>
  <si>
    <t>chargée/rangée</t>
  </si>
  <si>
    <t>Temps de reforage suite aux dommages des sautages (h)</t>
  </si>
  <si>
    <t>nbre de quarts (incl. entretien)</t>
  </si>
  <si>
    <t>h de forage (incl. entretien)</t>
  </si>
  <si>
    <t>Temps total d'installation</t>
  </si>
  <si>
    <t>des câbles (heures)</t>
  </si>
  <si>
    <t>Tonnage total des rangées de forage (LT)</t>
  </si>
  <si>
    <t>Forer à travers le grillage</t>
  </si>
  <si>
    <t>Temps de forage par tige</t>
  </si>
  <si>
    <t>temps moyen de forage par tige</t>
  </si>
  <si>
    <t>min/tige</t>
  </si>
  <si>
    <t xml:space="preserve">Mettre le transporteur en mode déplacement </t>
  </si>
  <si>
    <t>Mettre le transporteur en mode forage</t>
  </si>
  <si>
    <t>4.0 - Pivotement de la foreuse sur le même point de rotation</t>
  </si>
  <si>
    <t xml:space="preserve">temps moyen de pivotement </t>
  </si>
  <si>
    <t>5.0 - Déplacer la foreuse sur la même rangée</t>
  </si>
  <si>
    <t xml:space="preserve">temps moyen pour déplacer la foreuse sur la même rangée </t>
  </si>
  <si>
    <t>6.0 - Déplacer le transporteur d'une rangée</t>
  </si>
  <si>
    <t>temps moyen pour déplacer le transporteur</t>
  </si>
  <si>
    <t xml:space="preserve">5.0 - Déplacer la foreuse sur la même rangée </t>
  </si>
  <si>
    <t>Mettre le transporteur en mode déplacement</t>
  </si>
  <si>
    <t># de trous</t>
  </si>
  <si>
    <t>Rangées</t>
  </si>
  <si>
    <t>temps moyen pour déplacer la foreuse sur la même rangée</t>
  </si>
  <si>
    <t>Trou #</t>
  </si>
  <si>
    <t>$/m foré en mont. ascend.</t>
  </si>
  <si>
    <t>$/m foré en mont. ascend. et Longs Trous</t>
  </si>
  <si>
    <r>
      <t>/rangée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</si>
  <si>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forés/rangée</t>
  </si>
  <si>
    <t>trous/rangée</t>
  </si>
  <si>
    <t>e - Temps de raccordement/rangée</t>
  </si>
  <si>
    <t xml:space="preserve"> - temps variables : transport et chargement des explosifs</t>
  </si>
  <si>
    <t>5.1 - TABLEAU DU NOMBRE D'HEURES REQUISES PAR ACTIVITÉ</t>
  </si>
  <si>
    <t>5.1.1 - ACTIVITÉS DIRECTES FIXES</t>
  </si>
  <si>
    <t xml:space="preserve"> (dans le chantier)</t>
  </si>
  <si>
    <t>DIRECTES FIXES      (heures)</t>
  </si>
  <si>
    <t>5.1.2 - ACTIVITÉS DIRECTES VARIABLES</t>
  </si>
  <si>
    <t>Heures horaire</t>
  </si>
  <si>
    <t>Total</t>
  </si>
  <si>
    <t>avec des imprévus de</t>
  </si>
  <si>
    <t>quarts-hommes d'imprévus</t>
  </si>
  <si>
    <r>
      <t>Nombre de quarts requis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(incluant les imprévus et les temps fixes par quart)</t>
    </r>
  </si>
  <si>
    <t>DU PLANCHER</t>
  </si>
  <si>
    <t>4.1 - Nettoyage du plancher</t>
  </si>
  <si>
    <t>Temps total                            (min)</t>
  </si>
  <si>
    <t>Tonnage moyen par mètre foré</t>
  </si>
  <si>
    <t>min/quart</t>
  </si>
  <si>
    <t>Nettoyage de la foreuse</t>
  </si>
  <si>
    <t>heures de forage (incl. entretien)</t>
  </si>
  <si>
    <t>4.4 - Support par câbles d'ancrage</t>
  </si>
  <si>
    <t>NETTOYAGE DU</t>
  </si>
  <si>
    <t>NETTOYAGE</t>
  </si>
  <si>
    <t>incluant tiges, trépans, boyaux, lubrifiants et graisses</t>
  </si>
  <si>
    <t>Nettoyer la pompe et accessoires</t>
  </si>
  <si>
    <t>Tonnage total des rangées de production</t>
  </si>
  <si>
    <t>Câbles d'ancrage par galerie hors de la zone minéralisée</t>
  </si>
  <si>
    <t>4.2.1 - Paramètres des monteries ascendantes</t>
  </si>
  <si>
    <t>CALCUL DE LA PRODUCTIVITÉ DE FORAGE POUR LES CÂBLES D'ANCRAGE</t>
  </si>
  <si>
    <t xml:space="preserve"> le temps requis pour les activités variables sera corrigé au prorata du nombre d'hommes.</t>
  </si>
  <si>
    <t>Nettoyage de trou/tige</t>
  </si>
  <si>
    <t>Aligner le transporteur sur les points de référence</t>
  </si>
  <si>
    <t>Temps total de forage                         par rangée</t>
  </si>
  <si>
    <t>Positions</t>
  </si>
  <si>
    <t>Temps total de forage                         par monterie ascendante</t>
  </si>
  <si>
    <t>SEULEMENT LES ACTIVITÉS DIRECTES VARIABLES SONT INFLUENCÉES PAR LE NOMBRE D'HOMMES.</t>
  </si>
  <si>
    <t>TOTAL (CHANTIER)</t>
  </si>
  <si>
    <t xml:space="preserve">   </t>
  </si>
  <si>
    <t>DE CÂBLES D'ANCRAGE</t>
  </si>
  <si>
    <t>Temps d'installation de câbles d'ancrage/trou</t>
  </si>
  <si>
    <t>Déplacer la foreuse à l'autre point de rotation</t>
  </si>
  <si>
    <t>Version : 3 mai 2002</t>
  </si>
  <si>
    <t>Accès par rampe au sous-niveau</t>
  </si>
  <si>
    <t>Version : 2 avril 2004</t>
  </si>
  <si>
    <t>oui=1, non=0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</si>
</sst>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%"/>
    <numFmt numFmtId="173" formatCode="0.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00"/>
    <numFmt numFmtId="183" formatCode="_(* #,##0.0_);_(* \(#,##0.0\);_(* &quot;-&quot;??_);_(@_)"/>
    <numFmt numFmtId="184" formatCode="0.0000000000000"/>
    <numFmt numFmtId="185" formatCode="0.000000000000"/>
    <numFmt numFmtId="186" formatCode="_(* #,##0_);_(* \(#,##0\);_(* &quot;-&quot;??_);_(@_)"/>
    <numFmt numFmtId="187" formatCode="_(* #,##0.000_);_(* \(#,##0.0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24"/>
      <name val="Arial Black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i/>
      <u val="single"/>
      <sz val="14"/>
      <name val="Arial Black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u val="single"/>
      <sz val="20"/>
      <name val="Arial Black"/>
      <family val="2"/>
    </font>
    <font>
      <b/>
      <i/>
      <u val="single"/>
      <sz val="20"/>
      <name val="Arial Black"/>
      <family val="2"/>
    </font>
    <font>
      <sz val="18"/>
      <name val="Arial"/>
      <family val="2"/>
    </font>
    <font>
      <sz val="26"/>
      <name val="Arial Black"/>
      <family val="2"/>
    </font>
    <font>
      <i/>
      <u val="single"/>
      <sz val="26"/>
      <name val="Arial Black"/>
      <family val="2"/>
    </font>
    <font>
      <sz val="18"/>
      <name val="Arial Black"/>
      <family val="2"/>
    </font>
    <font>
      <b/>
      <sz val="22"/>
      <name val="Arial"/>
      <family val="2"/>
    </font>
    <font>
      <i/>
      <sz val="14"/>
      <name val="Arial"/>
      <family val="2"/>
    </font>
    <font>
      <b/>
      <u val="single"/>
      <sz val="10"/>
      <name val="Tahoma"/>
      <family val="2"/>
    </font>
    <font>
      <b/>
      <sz val="13"/>
      <name val="Tahoma"/>
      <family val="2"/>
    </font>
    <font>
      <b/>
      <u val="single"/>
      <sz val="13"/>
      <name val="Tahoma"/>
      <family val="2"/>
    </font>
    <font>
      <b/>
      <u val="single"/>
      <sz val="16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double"/>
    </border>
    <border>
      <left style="thick"/>
      <right style="thin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double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4"/>
    </xf>
    <xf numFmtId="0" fontId="0" fillId="0" borderId="0" xfId="0" applyBorder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2" borderId="1" xfId="0" applyNumberForma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3" fontId="0" fillId="2" borderId="7" xfId="0" applyNumberFormat="1" applyFill="1" applyBorder="1" applyAlignment="1">
      <alignment horizontal="center"/>
    </xf>
    <xf numFmtId="0" fontId="6" fillId="0" borderId="0" xfId="0" applyFont="1" applyAlignment="1">
      <alignment/>
    </xf>
    <xf numFmtId="173" fontId="6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1" fillId="2" borderId="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11" fillId="2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2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6" xfId="0" applyFont="1" applyBorder="1" applyAlignment="1">
      <alignment/>
    </xf>
    <xf numFmtId="2" fontId="11" fillId="2" borderId="0" xfId="0" applyNumberFormat="1" applyFont="1" applyFill="1" applyBorder="1" applyAlignment="1">
      <alignment/>
    </xf>
    <xf numFmtId="0" fontId="11" fillId="0" borderId="5" xfId="0" applyFont="1" applyBorder="1" applyAlignment="1">
      <alignment/>
    </xf>
    <xf numFmtId="0" fontId="18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1"/>
    </xf>
    <xf numFmtId="0" fontId="11" fillId="0" borderId="0" xfId="0" applyFont="1" applyAlignment="1">
      <alignment horizontal="right"/>
    </xf>
    <xf numFmtId="0" fontId="18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8" fillId="0" borderId="0" xfId="0" applyFont="1" applyAlignment="1">
      <alignment horizontal="left" indent="1"/>
    </xf>
    <xf numFmtId="173" fontId="11" fillId="2" borderId="0" xfId="0" applyNumberFormat="1" applyFont="1" applyFill="1" applyAlignment="1">
      <alignment/>
    </xf>
    <xf numFmtId="0" fontId="18" fillId="0" borderId="0" xfId="0" applyFont="1" applyBorder="1" applyAlignment="1">
      <alignment/>
    </xf>
    <xf numFmtId="0" fontId="5" fillId="0" borderId="0" xfId="0" applyFont="1" applyAlignment="1">
      <alignment horizontal="left" indent="2"/>
    </xf>
    <xf numFmtId="0" fontId="20" fillId="0" borderId="0" xfId="0" applyFont="1" applyAlignment="1">
      <alignment horizontal="left" indent="1"/>
    </xf>
    <xf numFmtId="0" fontId="0" fillId="0" borderId="17" xfId="0" applyBorder="1" applyAlignment="1">
      <alignment/>
    </xf>
    <xf numFmtId="2" fontId="11" fillId="2" borderId="18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left" indent="1"/>
    </xf>
    <xf numFmtId="2" fontId="6" fillId="2" borderId="1" xfId="0" applyNumberFormat="1" applyFont="1" applyFill="1" applyBorder="1" applyAlignment="1">
      <alignment/>
    </xf>
    <xf numFmtId="0" fontId="0" fillId="0" borderId="0" xfId="0" applyBorder="1" applyAlignment="1">
      <alignment horizontal="left" indent="4"/>
    </xf>
    <xf numFmtId="0" fontId="2" fillId="0" borderId="0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2" borderId="1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73" fontId="6" fillId="2" borderId="20" xfId="0" applyNumberFormat="1" applyFont="1" applyFill="1" applyBorder="1" applyAlignment="1">
      <alignment horizontal="center"/>
    </xf>
    <xf numFmtId="173" fontId="6" fillId="2" borderId="21" xfId="0" applyNumberFormat="1" applyFont="1" applyFill="1" applyBorder="1" applyAlignment="1">
      <alignment horizontal="center"/>
    </xf>
    <xf numFmtId="173" fontId="6" fillId="2" borderId="22" xfId="0" applyNumberFormat="1" applyFont="1" applyFill="1" applyBorder="1" applyAlignment="1">
      <alignment horizontal="center"/>
    </xf>
    <xf numFmtId="173" fontId="6" fillId="2" borderId="23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left" indent="4"/>
    </xf>
    <xf numFmtId="0" fontId="11" fillId="0" borderId="24" xfId="0" applyFont="1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left" indent="4"/>
    </xf>
    <xf numFmtId="0" fontId="0" fillId="4" borderId="1" xfId="0" applyFill="1" applyBorder="1" applyAlignment="1">
      <alignment/>
    </xf>
    <xf numFmtId="173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" fontId="0" fillId="4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0" fontId="0" fillId="0" borderId="2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0" fillId="5" borderId="27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3" fillId="6" borderId="18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0" fontId="0" fillId="0" borderId="0" xfId="0" applyAlignment="1">
      <alignment horizontal="left"/>
    </xf>
    <xf numFmtId="0" fontId="0" fillId="4" borderId="19" xfId="0" applyFill="1" applyBorder="1" applyAlignment="1">
      <alignment/>
    </xf>
    <xf numFmtId="0" fontId="2" fillId="4" borderId="29" xfId="0" applyFont="1" applyFill="1" applyBorder="1" applyAlignment="1">
      <alignment horizontal="center"/>
    </xf>
    <xf numFmtId="173" fontId="0" fillId="4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1" fontId="0" fillId="2" borderId="19" xfId="0" applyNumberFormat="1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19" xfId="0" applyFill="1" applyBorder="1" applyAlignment="1">
      <alignment horizontal="left" indent="4"/>
    </xf>
    <xf numFmtId="2" fontId="0" fillId="2" borderId="19" xfId="0" applyNumberForma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8" fillId="0" borderId="0" xfId="0" applyFont="1" applyBorder="1" applyAlignment="1">
      <alignment/>
    </xf>
    <xf numFmtId="0" fontId="23" fillId="4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73" fontId="8" fillId="2" borderId="1" xfId="0" applyNumberFormat="1" applyFont="1" applyFill="1" applyBorder="1" applyAlignment="1">
      <alignment/>
    </xf>
    <xf numFmtId="0" fontId="23" fillId="0" borderId="17" xfId="0" applyFont="1" applyBorder="1" applyAlignment="1">
      <alignment/>
    </xf>
    <xf numFmtId="0" fontId="8" fillId="4" borderId="1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31" xfId="0" applyFont="1" applyBorder="1" applyAlignment="1">
      <alignment horizontal="left" indent="4"/>
    </xf>
    <xf numFmtId="0" fontId="8" fillId="0" borderId="0" xfId="0" applyFont="1" applyAlignment="1">
      <alignment horizontal="left" indent="1"/>
    </xf>
    <xf numFmtId="0" fontId="23" fillId="2" borderId="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3" fillId="0" borderId="3" xfId="0" applyFont="1" applyBorder="1" applyAlignment="1">
      <alignment/>
    </xf>
    <xf numFmtId="173" fontId="8" fillId="0" borderId="15" xfId="0" applyNumberFormat="1" applyFont="1" applyBorder="1" applyAlignment="1">
      <alignment/>
    </xf>
    <xf numFmtId="173" fontId="8" fillId="0" borderId="5" xfId="0" applyNumberFormat="1" applyFont="1" applyBorder="1" applyAlignment="1">
      <alignment/>
    </xf>
    <xf numFmtId="173" fontId="8" fillId="0" borderId="16" xfId="0" applyNumberFormat="1" applyFont="1" applyBorder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6" xfId="0" applyFont="1" applyBorder="1" applyAlignment="1">
      <alignment/>
    </xf>
    <xf numFmtId="173" fontId="21" fillId="4" borderId="1" xfId="0" applyNumberFormat="1" applyFont="1" applyFill="1" applyBorder="1" applyAlignment="1">
      <alignment/>
    </xf>
    <xf numFmtId="0" fontId="21" fillId="4" borderId="1" xfId="0" applyFont="1" applyFill="1" applyBorder="1" applyAlignment="1">
      <alignment/>
    </xf>
    <xf numFmtId="173" fontId="3" fillId="2" borderId="1" xfId="0" applyNumberFormat="1" applyFont="1" applyFill="1" applyBorder="1" applyAlignment="1">
      <alignment/>
    </xf>
    <xf numFmtId="0" fontId="21" fillId="0" borderId="37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1" xfId="0" applyFont="1" applyBorder="1" applyAlignment="1">
      <alignment/>
    </xf>
    <xf numFmtId="0" fontId="3" fillId="0" borderId="0" xfId="0" applyFont="1" applyAlignment="1">
      <alignment horizontal="left" indent="1"/>
    </xf>
    <xf numFmtId="0" fontId="21" fillId="2" borderId="1" xfId="0" applyFont="1" applyFill="1" applyBorder="1" applyAlignment="1">
      <alignment horizontal="center"/>
    </xf>
    <xf numFmtId="0" fontId="21" fillId="0" borderId="3" xfId="0" applyFont="1" applyBorder="1" applyAlignment="1">
      <alignment/>
    </xf>
    <xf numFmtId="0" fontId="21" fillId="6" borderId="19" xfId="0" applyFont="1" applyFill="1" applyBorder="1" applyAlignment="1">
      <alignment/>
    </xf>
    <xf numFmtId="0" fontId="21" fillId="4" borderId="19" xfId="0" applyFont="1" applyFill="1" applyBorder="1" applyAlignment="1">
      <alignment/>
    </xf>
    <xf numFmtId="173" fontId="21" fillId="2" borderId="19" xfId="0" applyNumberFormat="1" applyFont="1" applyFill="1" applyBorder="1" applyAlignment="1">
      <alignment/>
    </xf>
    <xf numFmtId="173" fontId="21" fillId="2" borderId="26" xfId="0" applyNumberFormat="1" applyFont="1" applyFill="1" applyBorder="1" applyAlignment="1">
      <alignment/>
    </xf>
    <xf numFmtId="173" fontId="21" fillId="2" borderId="1" xfId="0" applyNumberFormat="1" applyFont="1" applyFill="1" applyBorder="1" applyAlignment="1">
      <alignment/>
    </xf>
    <xf numFmtId="173" fontId="21" fillId="2" borderId="7" xfId="0" applyNumberFormat="1" applyFont="1" applyFill="1" applyBorder="1" applyAlignment="1">
      <alignment/>
    </xf>
    <xf numFmtId="0" fontId="21" fillId="6" borderId="1" xfId="0" applyFont="1" applyFill="1" applyBorder="1" applyAlignment="1">
      <alignment/>
    </xf>
    <xf numFmtId="0" fontId="21" fillId="0" borderId="38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 vertical="center"/>
    </xf>
    <xf numFmtId="0" fontId="3" fillId="6" borderId="3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3" fontId="21" fillId="4" borderId="19" xfId="0" applyNumberFormat="1" applyFont="1" applyFill="1" applyBorder="1" applyAlignment="1">
      <alignment/>
    </xf>
    <xf numFmtId="0" fontId="21" fillId="2" borderId="19" xfId="0" applyFont="1" applyFill="1" applyBorder="1" applyAlignment="1">
      <alignment horizontal="center"/>
    </xf>
    <xf numFmtId="0" fontId="2" fillId="0" borderId="3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39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9" fontId="0" fillId="4" borderId="42" xfId="19" applyFill="1" applyBorder="1" applyAlignment="1">
      <alignment horizontal="center"/>
    </xf>
    <xf numFmtId="173" fontId="0" fillId="2" borderId="43" xfId="0" applyNumberFormat="1" applyFill="1" applyBorder="1" applyAlignment="1">
      <alignment horizontal="center"/>
    </xf>
    <xf numFmtId="9" fontId="0" fillId="4" borderId="26" xfId="19" applyFill="1" applyBorder="1" applyAlignment="1">
      <alignment horizontal="center"/>
    </xf>
    <xf numFmtId="9" fontId="0" fillId="5" borderId="27" xfId="19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2" fontId="0" fillId="2" borderId="43" xfId="0" applyNumberFormat="1" applyFill="1" applyBorder="1" applyAlignment="1">
      <alignment horizontal="center"/>
    </xf>
    <xf numFmtId="0" fontId="0" fillId="0" borderId="5" xfId="0" applyBorder="1" applyAlignment="1">
      <alignment horizontal="left" indent="4"/>
    </xf>
    <xf numFmtId="0" fontId="17" fillId="0" borderId="0" xfId="0" applyFont="1" applyAlignment="1">
      <alignment horizontal="left" indent="1"/>
    </xf>
    <xf numFmtId="1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6" borderId="44" xfId="0" applyFont="1" applyFill="1" applyBorder="1" applyAlignment="1">
      <alignment vertical="center"/>
    </xf>
    <xf numFmtId="0" fontId="0" fillId="6" borderId="45" xfId="0" applyFill="1" applyBorder="1" applyAlignment="1">
      <alignment vertical="center"/>
    </xf>
    <xf numFmtId="0" fontId="2" fillId="6" borderId="46" xfId="0" applyFont="1" applyFill="1" applyBorder="1" applyAlignment="1">
      <alignment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2" fontId="0" fillId="2" borderId="19" xfId="0" applyNumberFormat="1" applyFill="1" applyBorder="1" applyAlignment="1">
      <alignment/>
    </xf>
    <xf numFmtId="2" fontId="2" fillId="5" borderId="49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0" fillId="2" borderId="42" xfId="0" applyNumberFormat="1" applyFill="1" applyBorder="1" applyAlignment="1">
      <alignment/>
    </xf>
    <xf numFmtId="2" fontId="2" fillId="2" borderId="43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0" fillId="2" borderId="50" xfId="0" applyNumberFormat="1" applyFill="1" applyBorder="1" applyAlignment="1">
      <alignment/>
    </xf>
    <xf numFmtId="2" fontId="2" fillId="2" borderId="28" xfId="0" applyNumberFormat="1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51" xfId="0" applyBorder="1" applyAlignment="1">
      <alignment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2" fontId="11" fillId="2" borderId="27" xfId="0" applyNumberFormat="1" applyFont="1" applyFill="1" applyBorder="1" applyAlignment="1">
      <alignment horizontal="center"/>
    </xf>
    <xf numFmtId="2" fontId="11" fillId="2" borderId="55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2" fontId="11" fillId="2" borderId="28" xfId="0" applyNumberFormat="1" applyFont="1" applyFill="1" applyBorder="1" applyAlignment="1">
      <alignment horizontal="center"/>
    </xf>
    <xf numFmtId="2" fontId="11" fillId="7" borderId="1" xfId="0" applyNumberFormat="1" applyFont="1" applyFill="1" applyBorder="1" applyAlignment="1">
      <alignment horizontal="center"/>
    </xf>
    <xf numFmtId="0" fontId="6" fillId="7" borderId="6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3" fillId="0" borderId="4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3" fontId="8" fillId="2" borderId="1" xfId="0" applyNumberFormat="1" applyFont="1" applyFill="1" applyBorder="1" applyAlignment="1">
      <alignment vertical="center"/>
    </xf>
    <xf numFmtId="0" fontId="28" fillId="0" borderId="0" xfId="0" applyFont="1" applyAlignment="1">
      <alignment horizontal="left" indent="3"/>
    </xf>
    <xf numFmtId="0" fontId="21" fillId="0" borderId="5" xfId="0" applyFont="1" applyBorder="1" applyAlignment="1">
      <alignment/>
    </xf>
    <xf numFmtId="2" fontId="11" fillId="7" borderId="26" xfId="0" applyNumberFormat="1" applyFont="1" applyFill="1" applyBorder="1" applyAlignment="1" quotePrefix="1">
      <alignment horizontal="center"/>
    </xf>
    <xf numFmtId="2" fontId="11" fillId="2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6" borderId="23" xfId="0" applyFont="1" applyFill="1" applyBorder="1" applyAlignment="1">
      <alignment horizontal="right"/>
    </xf>
    <xf numFmtId="173" fontId="6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6" borderId="18" xfId="0" applyFont="1" applyFill="1" applyBorder="1" applyAlignment="1">
      <alignment/>
    </xf>
    <xf numFmtId="0" fontId="11" fillId="6" borderId="51" xfId="0" applyFont="1" applyFill="1" applyBorder="1" applyAlignment="1">
      <alignment/>
    </xf>
    <xf numFmtId="0" fontId="11" fillId="6" borderId="6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1" fontId="0" fillId="7" borderId="55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51" xfId="0" applyNumberFormat="1" applyFill="1" applyBorder="1" applyAlignment="1">
      <alignment horizontal="center"/>
    </xf>
    <xf numFmtId="1" fontId="0" fillId="5" borderId="59" xfId="0" applyNumberForma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5" borderId="60" xfId="0" applyNumberFormat="1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0" borderId="0" xfId="0" applyFont="1" applyAlignment="1">
      <alignment/>
    </xf>
    <xf numFmtId="173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73" fontId="2" fillId="2" borderId="1" xfId="0" applyNumberFormat="1" applyFont="1" applyFill="1" applyBorder="1" applyAlignment="1">
      <alignment/>
    </xf>
    <xf numFmtId="173" fontId="0" fillId="4" borderId="19" xfId="0" applyNumberFormat="1" applyFont="1" applyFill="1" applyBorder="1" applyAlignment="1">
      <alignment/>
    </xf>
    <xf numFmtId="0" fontId="0" fillId="6" borderId="51" xfId="0" applyFill="1" applyBorder="1" applyAlignment="1">
      <alignment/>
    </xf>
    <xf numFmtId="0" fontId="0" fillId="6" borderId="6" xfId="0" applyFill="1" applyBorder="1" applyAlignment="1">
      <alignment/>
    </xf>
    <xf numFmtId="0" fontId="6" fillId="6" borderId="18" xfId="0" applyFont="1" applyFill="1" applyBorder="1" applyAlignment="1">
      <alignment horizontal="left" indent="1"/>
    </xf>
    <xf numFmtId="2" fontId="0" fillId="5" borderId="61" xfId="0" applyNumberFormat="1" applyFill="1" applyBorder="1" applyAlignment="1">
      <alignment horizontal="center"/>
    </xf>
    <xf numFmtId="2" fontId="0" fillId="5" borderId="62" xfId="0" applyNumberFormat="1" applyFill="1" applyBorder="1" applyAlignment="1">
      <alignment horizontal="center"/>
    </xf>
    <xf numFmtId="173" fontId="3" fillId="4" borderId="1" xfId="0" applyNumberFormat="1" applyFont="1" applyFill="1" applyBorder="1" applyAlignment="1">
      <alignment/>
    </xf>
    <xf numFmtId="0" fontId="21" fillId="0" borderId="31" xfId="0" applyFont="1" applyBorder="1" applyAlignment="1">
      <alignment/>
    </xf>
    <xf numFmtId="0" fontId="11" fillId="4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2" fontId="2" fillId="5" borderId="14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0" xfId="0" applyFill="1" applyAlignment="1">
      <alignment/>
    </xf>
    <xf numFmtId="0" fontId="0" fillId="0" borderId="63" xfId="0" applyBorder="1" applyAlignment="1">
      <alignment horizontal="left" indent="3"/>
    </xf>
    <xf numFmtId="173" fontId="21" fillId="2" borderId="42" xfId="0" applyNumberFormat="1" applyFont="1" applyFill="1" applyBorder="1" applyAlignment="1">
      <alignment/>
    </xf>
    <xf numFmtId="173" fontId="21" fillId="2" borderId="43" xfId="0" applyNumberFormat="1" applyFont="1" applyFill="1" applyBorder="1" applyAlignment="1">
      <alignment/>
    </xf>
    <xf numFmtId="0" fontId="23" fillId="0" borderId="4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Border="1" applyAlignment="1">
      <alignment horizontal="left" indent="2"/>
    </xf>
    <xf numFmtId="0" fontId="22" fillId="0" borderId="17" xfId="0" applyFont="1" applyBorder="1" applyAlignment="1">
      <alignment horizontal="left" indent="2"/>
    </xf>
    <xf numFmtId="0" fontId="24" fillId="0" borderId="0" xfId="0" applyFont="1" applyAlignment="1">
      <alignment/>
    </xf>
    <xf numFmtId="0" fontId="8" fillId="2" borderId="50" xfId="0" applyFont="1" applyFill="1" applyBorder="1" applyAlignment="1">
      <alignment/>
    </xf>
    <xf numFmtId="0" fontId="23" fillId="0" borderId="39" xfId="0" applyFont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9" fontId="0" fillId="0" borderId="0" xfId="19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64" xfId="19" applyNumberFormat="1" applyFont="1" applyBorder="1" applyAlignment="1">
      <alignment horizontal="center"/>
    </xf>
    <xf numFmtId="186" fontId="2" fillId="0" borderId="63" xfId="15" applyNumberFormat="1" applyFont="1" applyBorder="1" applyAlignment="1">
      <alignment horizontal="center"/>
    </xf>
    <xf numFmtId="2" fontId="2" fillId="0" borderId="64" xfId="19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2" fontId="1" fillId="2" borderId="14" xfId="19" applyNumberFormat="1" applyFont="1" applyFill="1" applyBorder="1" applyAlignment="1">
      <alignment horizontal="center"/>
    </xf>
    <xf numFmtId="186" fontId="1" fillId="2" borderId="14" xfId="15" applyNumberFormat="1" applyFont="1" applyFill="1" applyBorder="1" applyAlignment="1">
      <alignment horizontal="center"/>
    </xf>
    <xf numFmtId="0" fontId="6" fillId="6" borderId="65" xfId="0" applyFont="1" applyFill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0" fontId="2" fillId="6" borderId="67" xfId="0" applyFont="1" applyFill="1" applyBorder="1" applyAlignment="1">
      <alignment horizontal="center"/>
    </xf>
    <xf numFmtId="9" fontId="6" fillId="6" borderId="68" xfId="19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1" fillId="4" borderId="0" xfId="0" applyFont="1" applyFill="1" applyAlignment="1" applyProtection="1">
      <alignment horizontal="left" indent="2"/>
      <protection locked="0"/>
    </xf>
    <xf numFmtId="0" fontId="11" fillId="4" borderId="1" xfId="0" applyFont="1" applyFill="1" applyBorder="1" applyAlignment="1" applyProtection="1">
      <alignment/>
      <protection locked="0"/>
    </xf>
    <xf numFmtId="0" fontId="11" fillId="4" borderId="18" xfId="0" applyFont="1" applyFill="1" applyBorder="1" applyAlignment="1" applyProtection="1">
      <alignment/>
      <protection locked="0"/>
    </xf>
    <xf numFmtId="0" fontId="11" fillId="4" borderId="33" xfId="0" applyFont="1" applyFill="1" applyBorder="1" applyAlignment="1" applyProtection="1">
      <alignment/>
      <protection locked="0"/>
    </xf>
    <xf numFmtId="0" fontId="11" fillId="4" borderId="37" xfId="0" applyFont="1" applyFill="1" applyBorder="1" applyAlignment="1" applyProtection="1">
      <alignment/>
      <protection locked="0"/>
    </xf>
    <xf numFmtId="0" fontId="11" fillId="4" borderId="0" xfId="0" applyFont="1" applyFill="1" applyBorder="1" applyAlignment="1" applyProtection="1">
      <alignment horizontal="left" indent="2"/>
      <protection locked="0"/>
    </xf>
    <xf numFmtId="0" fontId="11" fillId="4" borderId="0" xfId="0" applyFont="1" applyFill="1" applyBorder="1" applyAlignment="1" applyProtection="1">
      <alignment/>
      <protection locked="0"/>
    </xf>
    <xf numFmtId="0" fontId="6" fillId="0" borderId="44" xfId="0" applyFont="1" applyBorder="1" applyAlignment="1">
      <alignment horizontal="left" indent="2"/>
    </xf>
    <xf numFmtId="0" fontId="9" fillId="0" borderId="0" xfId="0" applyFont="1" applyAlignment="1">
      <alignment horizontal="center"/>
    </xf>
    <xf numFmtId="0" fontId="6" fillId="4" borderId="1" xfId="0" applyFont="1" applyFill="1" applyBorder="1" applyAlignment="1" applyProtection="1">
      <alignment/>
      <protection locked="0"/>
    </xf>
    <xf numFmtId="172" fontId="2" fillId="4" borderId="1" xfId="0" applyNumberFormat="1" applyFont="1" applyFill="1" applyBorder="1" applyAlignment="1" applyProtection="1">
      <alignment/>
      <protection locked="0"/>
    </xf>
    <xf numFmtId="0" fontId="11" fillId="2" borderId="48" xfId="0" applyFont="1" applyFill="1" applyBorder="1" applyAlignment="1">
      <alignment horizontal="center"/>
    </xf>
    <xf numFmtId="173" fontId="2" fillId="2" borderId="69" xfId="0" applyNumberFormat="1" applyFont="1" applyFill="1" applyBorder="1" applyAlignment="1">
      <alignment horizontal="center"/>
    </xf>
    <xf numFmtId="173" fontId="2" fillId="2" borderId="7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73" fontId="6" fillId="2" borderId="64" xfId="0" applyNumberFormat="1" applyFont="1" applyFill="1" applyBorder="1" applyAlignment="1">
      <alignment horizontal="center"/>
    </xf>
    <xf numFmtId="173" fontId="6" fillId="2" borderId="71" xfId="0" applyNumberFormat="1" applyFont="1" applyFill="1" applyBorder="1" applyAlignment="1">
      <alignment horizontal="center"/>
    </xf>
    <xf numFmtId="0" fontId="6" fillId="6" borderId="72" xfId="0" applyFont="1" applyFill="1" applyBorder="1" applyAlignment="1">
      <alignment/>
    </xf>
    <xf numFmtId="0" fontId="6" fillId="6" borderId="73" xfId="0" applyFont="1" applyFill="1" applyBorder="1" applyAlignment="1">
      <alignment horizontal="right"/>
    </xf>
    <xf numFmtId="0" fontId="6" fillId="6" borderId="15" xfId="0" applyFont="1" applyFill="1" applyBorder="1" applyAlignment="1">
      <alignment/>
    </xf>
    <xf numFmtId="0" fontId="6" fillId="6" borderId="16" xfId="0" applyFont="1" applyFill="1" applyBorder="1" applyAlignment="1">
      <alignment horizontal="left"/>
    </xf>
    <xf numFmtId="1" fontId="0" fillId="0" borderId="0" xfId="0" applyNumberFormat="1" applyAlignment="1">
      <alignment/>
    </xf>
    <xf numFmtId="173" fontId="0" fillId="2" borderId="74" xfId="0" applyNumberFormat="1" applyFill="1" applyBorder="1" applyAlignment="1">
      <alignment horizontal="center"/>
    </xf>
    <xf numFmtId="173" fontId="0" fillId="2" borderId="55" xfId="0" applyNumberFormat="1" applyFill="1" applyBorder="1" applyAlignment="1">
      <alignment/>
    </xf>
    <xf numFmtId="2" fontId="0" fillId="2" borderId="2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73" fontId="2" fillId="4" borderId="1" xfId="0" applyNumberFormat="1" applyFont="1" applyFill="1" applyBorder="1" applyAlignment="1">
      <alignment horizontal="center"/>
    </xf>
    <xf numFmtId="0" fontId="21" fillId="0" borderId="37" xfId="0" applyFont="1" applyBorder="1" applyAlignment="1">
      <alignment/>
    </xf>
    <xf numFmtId="173" fontId="8" fillId="2" borderId="75" xfId="0" applyNumberFormat="1" applyFont="1" applyFill="1" applyBorder="1" applyAlignment="1">
      <alignment/>
    </xf>
    <xf numFmtId="0" fontId="2" fillId="6" borderId="76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2" fillId="6" borderId="77" xfId="0" applyFont="1" applyFill="1" applyBorder="1" applyAlignment="1">
      <alignment horizontal="center"/>
    </xf>
    <xf numFmtId="0" fontId="2" fillId="6" borderId="7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11" fillId="2" borderId="32" xfId="0" applyNumberFormat="1" applyFont="1" applyFill="1" applyBorder="1" applyAlignment="1">
      <alignment horizontal="center"/>
    </xf>
    <xf numFmtId="1" fontId="11" fillId="2" borderId="39" xfId="0" applyNumberFormat="1" applyFont="1" applyFill="1" applyBorder="1" applyAlignment="1">
      <alignment horizontal="center"/>
    </xf>
    <xf numFmtId="1" fontId="11" fillId="7" borderId="40" xfId="0" applyNumberFormat="1" applyFont="1" applyFill="1" applyBorder="1" applyAlignment="1" quotePrefix="1">
      <alignment horizontal="center"/>
    </xf>
    <xf numFmtId="1" fontId="11" fillId="7" borderId="29" xfId="0" applyNumberFormat="1" applyFont="1" applyFill="1" applyBorder="1" applyAlignment="1">
      <alignment horizontal="center"/>
    </xf>
    <xf numFmtId="1" fontId="11" fillId="2" borderId="41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2" fontId="6" fillId="7" borderId="42" xfId="0" applyNumberFormat="1" applyFont="1" applyFill="1" applyBorder="1" applyAlignment="1" quotePrefix="1">
      <alignment horizontal="center"/>
    </xf>
    <xf numFmtId="2" fontId="6" fillId="7" borderId="19" xfId="0" applyNumberFormat="1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6" fillId="0" borderId="18" xfId="0" applyFont="1" applyBorder="1" applyAlignment="1">
      <alignment horizontal="left" indent="1"/>
    </xf>
    <xf numFmtId="0" fontId="0" fillId="0" borderId="6" xfId="0" applyBorder="1" applyAlignment="1">
      <alignment horizontal="left" indent="4"/>
    </xf>
    <xf numFmtId="0" fontId="11" fillId="2" borderId="2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6" fillId="7" borderId="1" xfId="0" applyNumberFormat="1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2" borderId="79" xfId="0" applyFont="1" applyFill="1" applyBorder="1" applyAlignment="1">
      <alignment horizontal="center"/>
    </xf>
    <xf numFmtId="0" fontId="11" fillId="2" borderId="71" xfId="0" applyFont="1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2" fontId="1" fillId="2" borderId="14" xfId="0" applyNumberFormat="1" applyFont="1" applyFill="1" applyBorder="1" applyAlignment="1">
      <alignment/>
    </xf>
    <xf numFmtId="2" fontId="6" fillId="7" borderId="26" xfId="0" applyNumberFormat="1" applyFont="1" applyFill="1" applyBorder="1" applyAlignment="1" quotePrefix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2" borderId="5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indent="6"/>
    </xf>
    <xf numFmtId="0" fontId="0" fillId="0" borderId="17" xfId="0" applyBorder="1" applyAlignment="1">
      <alignment horizontal="left" indent="4"/>
    </xf>
    <xf numFmtId="0" fontId="0" fillId="0" borderId="80" xfId="0" applyBorder="1" applyAlignment="1">
      <alignment/>
    </xf>
    <xf numFmtId="1" fontId="2" fillId="2" borderId="7" xfId="0" applyNumberFormat="1" applyFont="1" applyFill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 indent="1"/>
    </xf>
    <xf numFmtId="2" fontId="2" fillId="5" borderId="7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79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2" borderId="19" xfId="0" applyFill="1" applyBorder="1" applyAlignment="1">
      <alignment horizontal="left" indent="4"/>
    </xf>
    <xf numFmtId="1" fontId="6" fillId="2" borderId="1" xfId="0" applyNumberFormat="1" applyFont="1" applyFill="1" applyBorder="1" applyAlignment="1">
      <alignment/>
    </xf>
    <xf numFmtId="181" fontId="6" fillId="2" borderId="1" xfId="0" applyNumberFormat="1" applyFont="1" applyFill="1" applyBorder="1" applyAlignment="1">
      <alignment/>
    </xf>
    <xf numFmtId="173" fontId="0" fillId="2" borderId="19" xfId="0" applyNumberForma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173" fontId="11" fillId="2" borderId="6" xfId="0" applyNumberFormat="1" applyFont="1" applyFill="1" applyBorder="1" applyAlignment="1">
      <alignment horizontal="center"/>
    </xf>
    <xf numFmtId="2" fontId="2" fillId="8" borderId="76" xfId="19" applyNumberFormat="1" applyFont="1" applyFill="1" applyBorder="1" applyAlignment="1">
      <alignment horizontal="center"/>
    </xf>
    <xf numFmtId="186" fontId="2" fillId="8" borderId="4" xfId="15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73" fontId="0" fillId="5" borderId="1" xfId="0" applyNumberFormat="1" applyFill="1" applyBorder="1" applyAlignment="1">
      <alignment/>
    </xf>
    <xf numFmtId="2" fontId="2" fillId="0" borderId="80" xfId="0" applyNumberFormat="1" applyFont="1" applyBorder="1" applyAlignment="1">
      <alignment horizontal="center"/>
    </xf>
    <xf numFmtId="0" fontId="6" fillId="6" borderId="16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center"/>
    </xf>
    <xf numFmtId="2" fontId="2" fillId="0" borderId="81" xfId="19" applyNumberFormat="1" applyFont="1" applyBorder="1" applyAlignment="1">
      <alignment horizontal="center"/>
    </xf>
    <xf numFmtId="186" fontId="2" fillId="0" borderId="82" xfId="15" applyNumberFormat="1" applyFont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5" xfId="0" applyFill="1" applyBorder="1" applyAlignment="1">
      <alignment horizontal="left" indent="4"/>
    </xf>
    <xf numFmtId="0" fontId="0" fillId="4" borderId="55" xfId="0" applyFill="1" applyBorder="1" applyAlignment="1">
      <alignment/>
    </xf>
    <xf numFmtId="0" fontId="0" fillId="2" borderId="5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indent="4"/>
    </xf>
    <xf numFmtId="0" fontId="0" fillId="0" borderId="0" xfId="0" applyFill="1" applyBorder="1" applyAlignment="1">
      <alignment/>
    </xf>
    <xf numFmtId="9" fontId="0" fillId="4" borderId="26" xfId="19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9" fontId="6" fillId="6" borderId="65" xfId="19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indent="4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2" fillId="6" borderId="72" xfId="0" applyFont="1" applyFill="1" applyBorder="1" applyAlignment="1">
      <alignment horizontal="left" indent="4"/>
    </xf>
    <xf numFmtId="0" fontId="0" fillId="6" borderId="83" xfId="0" applyFill="1" applyBorder="1" applyAlignment="1">
      <alignment horizontal="center"/>
    </xf>
    <xf numFmtId="0" fontId="0" fillId="6" borderId="84" xfId="0" applyFill="1" applyBorder="1" applyAlignment="1">
      <alignment/>
    </xf>
    <xf numFmtId="1" fontId="2" fillId="2" borderId="28" xfId="0" applyNumberFormat="1" applyFont="1" applyFill="1" applyBorder="1" applyAlignment="1">
      <alignment horizontal="center"/>
    </xf>
    <xf numFmtId="173" fontId="2" fillId="2" borderId="54" xfId="0" applyNumberFormat="1" applyFont="1" applyFill="1" applyBorder="1" applyAlignment="1">
      <alignment horizontal="center"/>
    </xf>
    <xf numFmtId="173" fontId="2" fillId="2" borderId="28" xfId="0" applyNumberFormat="1" applyFont="1" applyFill="1" applyBorder="1" applyAlignment="1">
      <alignment horizontal="center"/>
    </xf>
    <xf numFmtId="2" fontId="0" fillId="2" borderId="55" xfId="0" applyNumberFormat="1" applyFill="1" applyBorder="1" applyAlignment="1">
      <alignment/>
    </xf>
    <xf numFmtId="2" fontId="2" fillId="2" borderId="54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2" fillId="2" borderId="38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85" xfId="0" applyFont="1" applyFill="1" applyBorder="1" applyAlignment="1">
      <alignment/>
    </xf>
    <xf numFmtId="173" fontId="2" fillId="2" borderId="86" xfId="0" applyNumberFormat="1" applyFont="1" applyFill="1" applyBorder="1" applyAlignment="1">
      <alignment/>
    </xf>
    <xf numFmtId="173" fontId="2" fillId="2" borderId="87" xfId="0" applyNumberFormat="1" applyFont="1" applyFill="1" applyBorder="1" applyAlignment="1">
      <alignment/>
    </xf>
    <xf numFmtId="173" fontId="2" fillId="2" borderId="14" xfId="0" applyNumberFormat="1" applyFont="1" applyFill="1" applyBorder="1" applyAlignment="1">
      <alignment horizontal="center"/>
    </xf>
    <xf numFmtId="0" fontId="3" fillId="6" borderId="88" xfId="0" applyFont="1" applyFill="1" applyBorder="1" applyAlignment="1">
      <alignment horizontal="center" vertical="center"/>
    </xf>
    <xf numFmtId="0" fontId="8" fillId="9" borderId="89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80" xfId="0" applyFont="1" applyBorder="1" applyAlignment="1">
      <alignment horizontal="center"/>
    </xf>
    <xf numFmtId="0" fontId="3" fillId="6" borderId="91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/>
    </xf>
    <xf numFmtId="0" fontId="3" fillId="6" borderId="93" xfId="0" applyFont="1" applyFill="1" applyBorder="1" applyAlignment="1">
      <alignment horizontal="center" vertical="center"/>
    </xf>
    <xf numFmtId="0" fontId="3" fillId="6" borderId="94" xfId="0" applyFont="1" applyFill="1" applyBorder="1" applyAlignment="1">
      <alignment horizontal="center" vertical="center"/>
    </xf>
    <xf numFmtId="0" fontId="3" fillId="6" borderId="95" xfId="0" applyFont="1" applyFill="1" applyBorder="1" applyAlignment="1">
      <alignment horizontal="center" vertical="center"/>
    </xf>
    <xf numFmtId="0" fontId="3" fillId="6" borderId="96" xfId="0" applyFont="1" applyFill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8" fillId="5" borderId="97" xfId="0" applyFont="1" applyFill="1" applyBorder="1" applyAlignment="1">
      <alignment horizontal="center" vertical="center" wrapText="1"/>
    </xf>
    <xf numFmtId="173" fontId="6" fillId="2" borderId="63" xfId="0" applyNumberFormat="1" applyFont="1" applyFill="1" applyBorder="1" applyAlignment="1">
      <alignment/>
    </xf>
    <xf numFmtId="173" fontId="6" fillId="2" borderId="15" xfId="0" applyNumberFormat="1" applyFont="1" applyFill="1" applyBorder="1" applyAlignment="1">
      <alignment/>
    </xf>
    <xf numFmtId="2" fontId="2" fillId="0" borderId="63" xfId="19" applyNumberFormat="1" applyFont="1" applyFill="1" applyBorder="1" applyAlignment="1">
      <alignment horizontal="center"/>
    </xf>
    <xf numFmtId="0" fontId="21" fillId="0" borderId="0" xfId="0" applyFont="1" applyAlignment="1">
      <alignment horizontal="left" indent="1"/>
    </xf>
    <xf numFmtId="0" fontId="21" fillId="8" borderId="0" xfId="0" applyFont="1" applyFill="1" applyAlignment="1">
      <alignment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left" indent="3"/>
    </xf>
    <xf numFmtId="44" fontId="21" fillId="0" borderId="0" xfId="17" applyFont="1" applyAlignment="1">
      <alignment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right"/>
    </xf>
    <xf numFmtId="44" fontId="21" fillId="2" borderId="1" xfId="17" applyFont="1" applyFill="1" applyBorder="1" applyAlignment="1">
      <alignment/>
    </xf>
    <xf numFmtId="44" fontId="21" fillId="2" borderId="14" xfId="17" applyFont="1" applyFill="1" applyBorder="1" applyAlignment="1">
      <alignment/>
    </xf>
    <xf numFmtId="0" fontId="3" fillId="0" borderId="0" xfId="0" applyFont="1" applyAlignment="1">
      <alignment/>
    </xf>
    <xf numFmtId="44" fontId="21" fillId="0" borderId="17" xfId="17" applyFont="1" applyBorder="1" applyAlignment="1">
      <alignment/>
    </xf>
    <xf numFmtId="0" fontId="21" fillId="0" borderId="18" xfId="0" applyFont="1" applyBorder="1" applyAlignment="1">
      <alignment/>
    </xf>
    <xf numFmtId="44" fontId="21" fillId="0" borderId="0" xfId="17" applyFont="1" applyBorder="1" applyAlignment="1">
      <alignment/>
    </xf>
    <xf numFmtId="0" fontId="3" fillId="0" borderId="0" xfId="0" applyFont="1" applyAlignment="1">
      <alignment horizontal="center"/>
    </xf>
    <xf numFmtId="44" fontId="21" fillId="0" borderId="1" xfId="17" applyFont="1" applyBorder="1" applyAlignment="1">
      <alignment/>
    </xf>
    <xf numFmtId="44" fontId="21" fillId="4" borderId="18" xfId="17" applyFont="1" applyFill="1" applyBorder="1" applyAlignment="1">
      <alignment horizontal="center"/>
    </xf>
    <xf numFmtId="9" fontId="21" fillId="4" borderId="18" xfId="19" applyFont="1" applyFill="1" applyBorder="1" applyAlignment="1">
      <alignment horizontal="center"/>
    </xf>
    <xf numFmtId="44" fontId="21" fillId="2" borderId="18" xfId="17" applyFont="1" applyFill="1" applyBorder="1" applyAlignment="1">
      <alignment horizontal="center"/>
    </xf>
    <xf numFmtId="0" fontId="0" fillId="0" borderId="98" xfId="0" applyBorder="1" applyAlignment="1">
      <alignment/>
    </xf>
    <xf numFmtId="0" fontId="21" fillId="6" borderId="81" xfId="0" applyFont="1" applyFill="1" applyBorder="1" applyAlignment="1">
      <alignment horizontal="center"/>
    </xf>
    <xf numFmtId="44" fontId="21" fillId="0" borderId="81" xfId="17" applyFont="1" applyBorder="1" applyAlignment="1">
      <alignment/>
    </xf>
    <xf numFmtId="0" fontId="21" fillId="0" borderId="76" xfId="0" applyFont="1" applyBorder="1" applyAlignment="1">
      <alignment/>
    </xf>
    <xf numFmtId="2" fontId="21" fillId="0" borderId="76" xfId="0" applyNumberFormat="1" applyFont="1" applyBorder="1" applyAlignment="1">
      <alignment/>
    </xf>
    <xf numFmtId="0" fontId="21" fillId="8" borderId="76" xfId="0" applyFont="1" applyFill="1" applyBorder="1" applyAlignment="1">
      <alignment/>
    </xf>
    <xf numFmtId="0" fontId="21" fillId="0" borderId="81" xfId="0" applyFont="1" applyBorder="1" applyAlignment="1">
      <alignment/>
    </xf>
    <xf numFmtId="44" fontId="21" fillId="0" borderId="6" xfId="17" applyFont="1" applyBorder="1" applyAlignment="1">
      <alignment/>
    </xf>
    <xf numFmtId="0" fontId="21" fillId="0" borderId="6" xfId="0" applyFont="1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21" fillId="0" borderId="4" xfId="0" applyFont="1" applyBorder="1" applyAlignment="1">
      <alignment/>
    </xf>
    <xf numFmtId="0" fontId="21" fillId="8" borderId="4" xfId="0" applyFont="1" applyFill="1" applyBorder="1" applyAlignment="1">
      <alignment/>
    </xf>
    <xf numFmtId="0" fontId="21" fillId="8" borderId="3" xfId="0" applyFont="1" applyFill="1" applyBorder="1" applyAlignment="1">
      <alignment/>
    </xf>
    <xf numFmtId="44" fontId="21" fillId="0" borderId="7" xfId="17" applyFont="1" applyBorder="1" applyAlignment="1">
      <alignment/>
    </xf>
    <xf numFmtId="0" fontId="21" fillId="0" borderId="7" xfId="0" applyFont="1" applyBorder="1" applyAlignment="1">
      <alignment/>
    </xf>
    <xf numFmtId="44" fontId="21" fillId="0" borderId="18" xfId="17" applyFont="1" applyBorder="1" applyAlignment="1">
      <alignment/>
    </xf>
    <xf numFmtId="0" fontId="0" fillId="0" borderId="76" xfId="0" applyBorder="1" applyAlignment="1">
      <alignment horizontal="center"/>
    </xf>
    <xf numFmtId="44" fontId="21" fillId="4" borderId="81" xfId="17" applyFont="1" applyFill="1" applyBorder="1" applyAlignment="1">
      <alignment/>
    </xf>
    <xf numFmtId="44" fontId="21" fillId="0" borderId="76" xfId="17" applyFont="1" applyBorder="1" applyAlignment="1">
      <alignment/>
    </xf>
    <xf numFmtId="44" fontId="21" fillId="2" borderId="81" xfId="17" applyFont="1" applyFill="1" applyBorder="1" applyAlignment="1">
      <alignment/>
    </xf>
    <xf numFmtId="0" fontId="21" fillId="0" borderId="6" xfId="0" applyFont="1" applyFill="1" applyBorder="1" applyAlignment="1">
      <alignment/>
    </xf>
    <xf numFmtId="44" fontId="21" fillId="0" borderId="7" xfId="0" applyNumberFormat="1" applyFont="1" applyFill="1" applyBorder="1" applyAlignment="1">
      <alignment/>
    </xf>
    <xf numFmtId="44" fontId="21" fillId="0" borderId="0" xfId="0" applyNumberFormat="1" applyFont="1" applyAlignment="1">
      <alignment/>
    </xf>
    <xf numFmtId="0" fontId="21" fillId="0" borderId="1" xfId="0" applyFont="1" applyFill="1" applyBorder="1" applyAlignment="1">
      <alignment/>
    </xf>
    <xf numFmtId="0" fontId="21" fillId="0" borderId="7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73" fontId="21" fillId="0" borderId="76" xfId="0" applyNumberFormat="1" applyFont="1" applyBorder="1" applyAlignment="1">
      <alignment horizontal="center"/>
    </xf>
    <xf numFmtId="173" fontId="21" fillId="0" borderId="4" xfId="0" applyNumberFormat="1" applyFont="1" applyBorder="1" applyAlignment="1">
      <alignment horizontal="center"/>
    </xf>
    <xf numFmtId="173" fontId="21" fillId="0" borderId="3" xfId="0" applyNumberFormat="1" applyFont="1" applyBorder="1" applyAlignment="1">
      <alignment horizontal="center"/>
    </xf>
    <xf numFmtId="173" fontId="21" fillId="0" borderId="0" xfId="0" applyNumberFormat="1" applyFont="1" applyAlignment="1">
      <alignment horizontal="center"/>
    </xf>
    <xf numFmtId="1" fontId="0" fillId="2" borderId="25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2" fontId="0" fillId="2" borderId="27" xfId="0" applyNumberFormat="1" applyFill="1" applyBorder="1" applyAlignment="1">
      <alignment/>
    </xf>
    <xf numFmtId="0" fontId="11" fillId="4" borderId="0" xfId="0" applyFont="1" applyFill="1" applyAlignment="1">
      <alignment horizontal="left" indent="2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8" fillId="0" borderId="36" xfId="0" applyFont="1" applyBorder="1" applyAlignment="1">
      <alignment/>
    </xf>
    <xf numFmtId="0" fontId="2" fillId="0" borderId="0" xfId="0" applyFont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6" fillId="0" borderId="0" xfId="0" applyFont="1" applyAlignment="1">
      <alignment horizontal="left" indent="5"/>
    </xf>
    <xf numFmtId="0" fontId="11" fillId="0" borderId="0" xfId="0" applyFont="1" applyAlignment="1">
      <alignment horizontal="left" indent="1"/>
    </xf>
    <xf numFmtId="0" fontId="1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indent="4"/>
    </xf>
    <xf numFmtId="0" fontId="17" fillId="0" borderId="0" xfId="0" applyFont="1" applyAlignment="1">
      <alignment horizontal="left"/>
    </xf>
    <xf numFmtId="2" fontId="2" fillId="2" borderId="18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17" xfId="0" applyFont="1" applyBorder="1" applyAlignment="1">
      <alignment horizontal="left" indent="2"/>
    </xf>
    <xf numFmtId="2" fontId="2" fillId="2" borderId="6" xfId="0" applyNumberFormat="1" applyFont="1" applyFill="1" applyBorder="1" applyAlignment="1" quotePrefix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6" fillId="2" borderId="74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3" fontId="1" fillId="2" borderId="49" xfId="0" applyNumberFormat="1" applyFont="1" applyFill="1" applyBorder="1" applyAlignment="1">
      <alignment horizontal="center"/>
    </xf>
    <xf numFmtId="1" fontId="2" fillId="2" borderId="26" xfId="0" applyNumberFormat="1" applyFont="1" applyFill="1" applyBorder="1" applyAlignment="1">
      <alignment horizontal="center"/>
    </xf>
    <xf numFmtId="173" fontId="1" fillId="2" borderId="101" xfId="0" applyNumberFormat="1" applyFont="1" applyFill="1" applyBorder="1" applyAlignment="1">
      <alignment horizontal="center"/>
    </xf>
    <xf numFmtId="173" fontId="1" fillId="2" borderId="50" xfId="0" applyNumberFormat="1" applyFont="1" applyFill="1" applyBorder="1" applyAlignment="1">
      <alignment horizontal="center"/>
    </xf>
    <xf numFmtId="173" fontId="1" fillId="2" borderId="102" xfId="0" applyNumberFormat="1" applyFont="1" applyFill="1" applyBorder="1" applyAlignment="1">
      <alignment horizontal="center"/>
    </xf>
    <xf numFmtId="173" fontId="1" fillId="2" borderId="103" xfId="0" applyNumberFormat="1" applyFont="1" applyFill="1" applyBorder="1" applyAlignment="1">
      <alignment horizontal="center"/>
    </xf>
    <xf numFmtId="173" fontId="1" fillId="2" borderId="16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6" fillId="2" borderId="1" xfId="0" applyNumberFormat="1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/>
    </xf>
    <xf numFmtId="173" fontId="6" fillId="2" borderId="1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173" fontId="0" fillId="2" borderId="27" xfId="0" applyNumberFormat="1" applyFill="1" applyBorder="1" applyAlignment="1">
      <alignment horizontal="center"/>
    </xf>
    <xf numFmtId="173" fontId="0" fillId="2" borderId="55" xfId="0" applyNumberFormat="1" applyFill="1" applyBorder="1" applyAlignment="1">
      <alignment horizontal="center"/>
    </xf>
    <xf numFmtId="173" fontId="0" fillId="2" borderId="28" xfId="0" applyNumberFormat="1" applyFill="1" applyBorder="1" applyAlignment="1">
      <alignment horizontal="center"/>
    </xf>
    <xf numFmtId="173" fontId="0" fillId="2" borderId="85" xfId="0" applyNumberFormat="1" applyFill="1" applyBorder="1" applyAlignment="1">
      <alignment horizontal="center"/>
    </xf>
    <xf numFmtId="173" fontId="2" fillId="5" borderId="23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4" xfId="0" applyFont="1" applyBorder="1" applyAlignment="1">
      <alignment horizontal="center"/>
    </xf>
    <xf numFmtId="186" fontId="2" fillId="0" borderId="64" xfId="15" applyNumberFormat="1" applyFont="1" applyBorder="1" applyAlignment="1">
      <alignment horizontal="center"/>
    </xf>
    <xf numFmtId="186" fontId="2" fillId="0" borderId="81" xfId="15" applyNumberFormat="1" applyFont="1" applyBorder="1" applyAlignment="1">
      <alignment horizontal="center"/>
    </xf>
    <xf numFmtId="186" fontId="2" fillId="8" borderId="76" xfId="15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86" fontId="2" fillId="0" borderId="42" xfId="15" applyNumberFormat="1" applyFont="1" applyBorder="1" applyAlignment="1">
      <alignment horizontal="center"/>
    </xf>
    <xf numFmtId="186" fontId="2" fillId="0" borderId="26" xfId="15" applyNumberFormat="1" applyFont="1" applyBorder="1" applyAlignment="1">
      <alignment horizontal="center"/>
    </xf>
    <xf numFmtId="186" fontId="2" fillId="0" borderId="4" xfId="15" applyNumberFormat="1" applyFont="1" applyBorder="1" applyAlignment="1">
      <alignment horizontal="center"/>
    </xf>
    <xf numFmtId="186" fontId="1" fillId="2" borderId="44" xfId="15" applyNumberFormat="1" applyFont="1" applyFill="1" applyBorder="1" applyAlignment="1">
      <alignment horizontal="center"/>
    </xf>
    <xf numFmtId="0" fontId="2" fillId="0" borderId="43" xfId="19" applyNumberFormat="1" applyFont="1" applyBorder="1" applyAlignment="1">
      <alignment horizontal="right"/>
    </xf>
    <xf numFmtId="0" fontId="2" fillId="8" borderId="7" xfId="19" applyNumberFormat="1" applyFont="1" applyFill="1" applyBorder="1" applyAlignment="1">
      <alignment horizontal="right"/>
    </xf>
    <xf numFmtId="0" fontId="2" fillId="8" borderId="105" xfId="19" applyNumberFormat="1" applyFont="1" applyFill="1" applyBorder="1" applyAlignment="1">
      <alignment horizontal="right"/>
    </xf>
    <xf numFmtId="0" fontId="1" fillId="2" borderId="48" xfId="0" applyFont="1" applyFill="1" applyBorder="1" applyAlignment="1">
      <alignment horizontal="right"/>
    </xf>
    <xf numFmtId="186" fontId="2" fillId="0" borderId="71" xfId="15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indent="7"/>
    </xf>
    <xf numFmtId="0" fontId="23" fillId="0" borderId="104" xfId="0" applyFont="1" applyBorder="1" applyAlignment="1">
      <alignment horizontal="center"/>
    </xf>
    <xf numFmtId="0" fontId="6" fillId="6" borderId="65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/>
    </xf>
    <xf numFmtId="173" fontId="21" fillId="2" borderId="37" xfId="0" applyNumberFormat="1" applyFont="1" applyFill="1" applyBorder="1" applyAlignment="1">
      <alignment/>
    </xf>
    <xf numFmtId="173" fontId="21" fillId="2" borderId="18" xfId="0" applyNumberFormat="1" applyFont="1" applyFill="1" applyBorder="1" applyAlignment="1">
      <alignment/>
    </xf>
    <xf numFmtId="173" fontId="8" fillId="2" borderId="16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2" borderId="44" xfId="0" applyFill="1" applyBorder="1" applyAlignment="1">
      <alignment horizontal="right" vertical="center"/>
    </xf>
    <xf numFmtId="0" fontId="0" fillId="2" borderId="23" xfId="0" applyFill="1" applyBorder="1" applyAlignment="1">
      <alignment horizontal="left" vertical="center"/>
    </xf>
    <xf numFmtId="0" fontId="0" fillId="6" borderId="79" xfId="0" applyFill="1" applyBorder="1" applyAlignment="1">
      <alignment vertical="center"/>
    </xf>
    <xf numFmtId="0" fontId="0" fillId="0" borderId="10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/>
    </xf>
    <xf numFmtId="0" fontId="21" fillId="0" borderId="0" xfId="0" applyFont="1" applyAlignment="1">
      <alignment horizontal="left"/>
    </xf>
    <xf numFmtId="2" fontId="2" fillId="5" borderId="110" xfId="0" applyNumberFormat="1" applyFont="1" applyFill="1" applyBorder="1" applyAlignment="1">
      <alignment horizontal="center"/>
    </xf>
    <xf numFmtId="2" fontId="2" fillId="5" borderId="48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left" indent="1"/>
    </xf>
    <xf numFmtId="0" fontId="23" fillId="0" borderId="13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173" fontId="8" fillId="2" borderId="48" xfId="0" applyNumberFormat="1" applyFont="1" applyFill="1" applyBorder="1" applyAlignment="1">
      <alignment vertical="center"/>
    </xf>
    <xf numFmtId="173" fontId="24" fillId="2" borderId="48" xfId="0" applyNumberFormat="1" applyFont="1" applyFill="1" applyBorder="1" applyAlignment="1">
      <alignment vertical="center"/>
    </xf>
    <xf numFmtId="0" fontId="23" fillId="0" borderId="35" xfId="0" applyFont="1" applyBorder="1" applyAlignment="1">
      <alignment horizontal="center"/>
    </xf>
    <xf numFmtId="0" fontId="21" fillId="6" borderId="111" xfId="0" applyFont="1" applyFill="1" applyBorder="1" applyAlignment="1">
      <alignment horizontal="center"/>
    </xf>
    <xf numFmtId="0" fontId="21" fillId="6" borderId="26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2" fillId="2" borderId="112" xfId="0" applyFont="1" applyFill="1" applyBorder="1" applyAlignment="1">
      <alignment horizontal="center" vertical="center"/>
    </xf>
    <xf numFmtId="173" fontId="22" fillId="2" borderId="113" xfId="0" applyNumberFormat="1" applyFont="1" applyFill="1" applyBorder="1" applyAlignment="1">
      <alignment horizontal="center" vertical="center"/>
    </xf>
    <xf numFmtId="0" fontId="22" fillId="2" borderId="114" xfId="0" applyFont="1" applyFill="1" applyBorder="1" applyAlignment="1">
      <alignment horizontal="center" vertical="center"/>
    </xf>
    <xf numFmtId="0" fontId="8" fillId="4" borderId="1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16" xfId="0" applyFont="1" applyFill="1" applyBorder="1" applyAlignment="1">
      <alignment horizontal="center" vertical="center" wrapText="1"/>
    </xf>
    <xf numFmtId="0" fontId="8" fillId="4" borderId="11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21" fillId="0" borderId="31" xfId="0" applyFont="1" applyBorder="1" applyAlignment="1">
      <alignment horizontal="right"/>
    </xf>
    <xf numFmtId="9" fontId="0" fillId="0" borderId="37" xfId="19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0" borderId="87" xfId="0" applyFont="1" applyBorder="1" applyAlignment="1">
      <alignment horizontal="left" inden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4" borderId="55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2" xfId="0" applyFont="1" applyFill="1" applyBorder="1" applyAlignment="1">
      <alignment horizontal="right"/>
    </xf>
    <xf numFmtId="44" fontId="21" fillId="0" borderId="26" xfId="17" applyFont="1" applyBorder="1" applyAlignment="1">
      <alignment horizontal="center"/>
    </xf>
    <xf numFmtId="44" fontId="21" fillId="0" borderId="7" xfId="17" applyFont="1" applyBorder="1" applyAlignment="1">
      <alignment horizontal="center"/>
    </xf>
    <xf numFmtId="0" fontId="3" fillId="6" borderId="118" xfId="0" applyFont="1" applyFill="1" applyBorder="1" applyAlignment="1">
      <alignment horizontal="center"/>
    </xf>
    <xf numFmtId="0" fontId="3" fillId="6" borderId="119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2" borderId="120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73" fontId="22" fillId="2" borderId="121" xfId="0" applyNumberFormat="1" applyFont="1" applyFill="1" applyBorder="1" applyAlignment="1">
      <alignment horizontal="center" vertical="center"/>
    </xf>
    <xf numFmtId="0" fontId="22" fillId="2" borderId="113" xfId="0" applyFont="1" applyFill="1" applyBorder="1" applyAlignment="1">
      <alignment horizontal="center" vertical="center"/>
    </xf>
    <xf numFmtId="0" fontId="22" fillId="2" borderId="112" xfId="0" applyFont="1" applyFill="1" applyBorder="1" applyAlignment="1">
      <alignment horizontal="center" vertical="center"/>
    </xf>
    <xf numFmtId="173" fontId="22" fillId="2" borderId="113" xfId="0" applyNumberFormat="1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122" xfId="0" applyFont="1" applyFill="1" applyBorder="1" applyAlignment="1">
      <alignment horizontal="center" vertical="center" wrapText="1"/>
    </xf>
    <xf numFmtId="0" fontId="24" fillId="6" borderId="44" xfId="0" applyFont="1" applyFill="1" applyBorder="1" applyAlignment="1">
      <alignment horizontal="center" vertical="center"/>
    </xf>
    <xf numFmtId="0" fontId="24" fillId="6" borderId="45" xfId="0" applyFont="1" applyFill="1" applyBorder="1" applyAlignment="1">
      <alignment horizontal="center" vertical="center"/>
    </xf>
    <xf numFmtId="0" fontId="8" fillId="5" borderId="123" xfId="0" applyFont="1" applyFill="1" applyBorder="1" applyAlignment="1">
      <alignment horizontal="center" vertical="center" wrapText="1"/>
    </xf>
    <xf numFmtId="0" fontId="8" fillId="5" borderId="124" xfId="0" applyFont="1" applyFill="1" applyBorder="1" applyAlignment="1">
      <alignment horizontal="center" vertical="center" wrapText="1"/>
    </xf>
    <xf numFmtId="0" fontId="8" fillId="5" borderId="125" xfId="0" applyFont="1" applyFill="1" applyBorder="1" applyAlignment="1">
      <alignment horizontal="center" vertical="center" wrapText="1"/>
    </xf>
    <xf numFmtId="0" fontId="8" fillId="5" borderId="97" xfId="0" applyFont="1" applyFill="1" applyBorder="1" applyAlignment="1">
      <alignment horizontal="center" vertical="center" wrapText="1"/>
    </xf>
    <xf numFmtId="0" fontId="8" fillId="5" borderId="126" xfId="0" applyFont="1" applyFill="1" applyBorder="1" applyAlignment="1">
      <alignment horizontal="center" vertical="center" wrapText="1"/>
    </xf>
    <xf numFmtId="0" fontId="8" fillId="5" borderId="12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3" fillId="6" borderId="88" xfId="0" applyFont="1" applyFill="1" applyBorder="1" applyAlignment="1">
      <alignment horizontal="center" vertical="center"/>
    </xf>
    <xf numFmtId="0" fontId="35" fillId="0" borderId="129" xfId="0" applyFont="1" applyBorder="1" applyAlignment="1">
      <alignment horizontal="center" vertical="center"/>
    </xf>
    <xf numFmtId="0" fontId="3" fillId="6" borderId="90" xfId="0" applyFont="1" applyFill="1" applyBorder="1" applyAlignment="1">
      <alignment horizontal="center" vertical="center"/>
    </xf>
    <xf numFmtId="0" fontId="8" fillId="9" borderId="123" xfId="0" applyFont="1" applyFill="1" applyBorder="1" applyAlignment="1">
      <alignment horizontal="center" vertical="center" wrapText="1"/>
    </xf>
    <xf numFmtId="0" fontId="8" fillId="9" borderId="130" xfId="0" applyFont="1" applyFill="1" applyBorder="1" applyAlignment="1">
      <alignment horizontal="center" vertical="center" wrapText="1"/>
    </xf>
    <xf numFmtId="0" fontId="8" fillId="9" borderId="124" xfId="0" applyFont="1" applyFill="1" applyBorder="1" applyAlignment="1">
      <alignment horizontal="center" vertical="center" wrapText="1"/>
    </xf>
    <xf numFmtId="0" fontId="8" fillId="9" borderId="131" xfId="0" applyFont="1" applyFill="1" applyBorder="1" applyAlignment="1">
      <alignment horizontal="center" vertical="center" wrapText="1"/>
    </xf>
    <xf numFmtId="0" fontId="8" fillId="9" borderId="125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126" xfId="0" applyFont="1" applyFill="1" applyBorder="1" applyAlignment="1">
      <alignment horizontal="center" vertical="center" wrapText="1"/>
    </xf>
    <xf numFmtId="0" fontId="8" fillId="9" borderId="127" xfId="0" applyFont="1" applyFill="1" applyBorder="1" applyAlignment="1">
      <alignment horizontal="center" vertical="center" wrapText="1"/>
    </xf>
    <xf numFmtId="0" fontId="8" fillId="9" borderId="132" xfId="0" applyFont="1" applyFill="1" applyBorder="1" applyAlignment="1">
      <alignment horizontal="center" vertical="center" wrapText="1"/>
    </xf>
    <xf numFmtId="0" fontId="8" fillId="9" borderId="89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6" borderId="133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134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9" fontId="6" fillId="6" borderId="10" xfId="19" applyFont="1" applyFill="1" applyBorder="1" applyAlignment="1">
      <alignment horizontal="center"/>
    </xf>
    <xf numFmtId="9" fontId="6" fillId="6" borderId="12" xfId="19" applyFont="1" applyFill="1" applyBorder="1" applyAlignment="1">
      <alignment horizontal="center"/>
    </xf>
    <xf numFmtId="0" fontId="2" fillId="6" borderId="135" xfId="0" applyFont="1" applyFill="1" applyBorder="1" applyAlignment="1">
      <alignment horizontal="center" vertical="center"/>
    </xf>
    <xf numFmtId="0" fontId="2" fillId="6" borderId="136" xfId="0" applyFont="1" applyFill="1" applyBorder="1" applyAlignment="1">
      <alignment horizontal="center" vertical="center"/>
    </xf>
    <xf numFmtId="9" fontId="0" fillId="0" borderId="137" xfId="19" applyBorder="1" applyAlignment="1">
      <alignment horizontal="center" vertical="center"/>
    </xf>
    <xf numFmtId="9" fontId="0" fillId="0" borderId="138" xfId="19" applyBorder="1" applyAlignment="1">
      <alignment horizontal="center" vertical="center"/>
    </xf>
    <xf numFmtId="0" fontId="7" fillId="3" borderId="37" xfId="0" applyFont="1" applyFill="1" applyBorder="1" applyAlignment="1">
      <alignment horizontal="left" indent="4"/>
    </xf>
    <xf numFmtId="0" fontId="2" fillId="3" borderId="2" xfId="0" applyFont="1" applyFill="1" applyBorder="1" applyAlignment="1">
      <alignment horizontal="left" indent="4"/>
    </xf>
    <xf numFmtId="2" fontId="6" fillId="7" borderId="1" xfId="0" applyNumberFormat="1" applyFont="1" applyFill="1" applyBorder="1" applyAlignment="1">
      <alignment horizontal="center"/>
    </xf>
    <xf numFmtId="2" fontId="6" fillId="7" borderId="18" xfId="0" applyNumberFormat="1" applyFont="1" applyFill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7" fillId="3" borderId="37" xfId="0" applyFont="1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11" fillId="4" borderId="110" xfId="0" applyFont="1" applyFill="1" applyBorder="1" applyAlignment="1">
      <alignment horizontal="center"/>
    </xf>
    <xf numFmtId="0" fontId="11" fillId="4" borderId="139" xfId="0" applyFont="1" applyFill="1" applyBorder="1" applyAlignment="1">
      <alignment horizontal="center"/>
    </xf>
    <xf numFmtId="0" fontId="0" fillId="0" borderId="13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1" fontId="11" fillId="2" borderId="1" xfId="0" applyNumberFormat="1" applyFont="1" applyFill="1" applyBorder="1" applyAlignment="1">
      <alignment horizontal="center"/>
    </xf>
    <xf numFmtId="1" fontId="11" fillId="2" borderId="18" xfId="0" applyNumberFormat="1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73" fontId="6" fillId="7" borderId="18" xfId="0" applyNumberFormat="1" applyFont="1" applyFill="1" applyBorder="1" applyAlignment="1">
      <alignment horizontal="center"/>
    </xf>
    <xf numFmtId="173" fontId="6" fillId="7" borderId="11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2" borderId="18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1" fillId="2" borderId="29" xfId="0" applyNumberFormat="1" applyFont="1" applyFill="1" applyBorder="1" applyAlignment="1">
      <alignment horizontal="center"/>
    </xf>
    <xf numFmtId="1" fontId="11" fillId="2" borderId="39" xfId="0" applyNumberFormat="1" applyFont="1" applyFill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6" fillId="6" borderId="44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73" fontId="1" fillId="2" borderId="140" xfId="0" applyNumberFormat="1" applyFont="1" applyFill="1" applyBorder="1" applyAlignment="1">
      <alignment horizontal="center"/>
    </xf>
    <xf numFmtId="173" fontId="1" fillId="2" borderId="5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2" borderId="111" xfId="0" applyNumberFormat="1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0" fontId="2" fillId="4" borderId="71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left" indent="2"/>
    </xf>
    <xf numFmtId="0" fontId="3" fillId="6" borderId="34" xfId="0" applyFont="1" applyFill="1" applyBorder="1" applyAlignment="1">
      <alignment horizontal="left" indent="2"/>
    </xf>
    <xf numFmtId="0" fontId="3" fillId="6" borderId="35" xfId="0" applyFont="1" applyFill="1" applyBorder="1" applyAlignment="1">
      <alignment horizontal="left" indent="2"/>
    </xf>
    <xf numFmtId="0" fontId="1" fillId="4" borderId="67" xfId="0" applyFont="1" applyFill="1" applyBorder="1" applyAlignment="1">
      <alignment horizontal="center"/>
    </xf>
    <xf numFmtId="0" fontId="1" fillId="4" borderId="71" xfId="0" applyFont="1" applyFill="1" applyBorder="1" applyAlignment="1">
      <alignment horizontal="center"/>
    </xf>
    <xf numFmtId="0" fontId="11" fillId="4" borderId="45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72" xfId="0" applyBorder="1" applyAlignment="1">
      <alignment horizontal="center" vertical="center"/>
    </xf>
    <xf numFmtId="0" fontId="3" fillId="6" borderId="128" xfId="0" applyFont="1" applyFill="1" applyBorder="1" applyAlignment="1">
      <alignment horizontal="left" vertical="center" indent="2"/>
    </xf>
    <xf numFmtId="0" fontId="3" fillId="6" borderId="80" xfId="0" applyFont="1" applyFill="1" applyBorder="1" applyAlignment="1">
      <alignment horizontal="left" vertical="center" indent="2"/>
    </xf>
    <xf numFmtId="0" fontId="3" fillId="6" borderId="104" xfId="0" applyFont="1" applyFill="1" applyBorder="1" applyAlignment="1">
      <alignment horizontal="left" vertical="center" indent="2"/>
    </xf>
    <xf numFmtId="2" fontId="6" fillId="2" borderId="19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indent="2"/>
    </xf>
    <xf numFmtId="0" fontId="11" fillId="0" borderId="36" xfId="0" applyFont="1" applyBorder="1" applyAlignment="1">
      <alignment horizontal="left" indent="2"/>
    </xf>
    <xf numFmtId="0" fontId="11" fillId="4" borderId="0" xfId="0" applyFont="1" applyFill="1" applyAlignment="1" applyProtection="1">
      <alignment horizontal="left" indent="2"/>
      <protection locked="0"/>
    </xf>
    <xf numFmtId="0" fontId="11" fillId="4" borderId="36" xfId="0" applyFont="1" applyFill="1" applyBorder="1" applyAlignment="1" applyProtection="1">
      <alignment horizontal="left" indent="2"/>
      <protection locked="0"/>
    </xf>
    <xf numFmtId="0" fontId="1" fillId="6" borderId="1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33" xfId="0" applyFont="1" applyFill="1" applyBorder="1" applyAlignment="1">
      <alignment horizontal="left" indent="1"/>
    </xf>
    <xf numFmtId="0" fontId="2" fillId="3" borderId="35" xfId="0" applyFont="1" applyFill="1" applyBorder="1" applyAlignment="1">
      <alignment horizontal="left" indent="1"/>
    </xf>
    <xf numFmtId="0" fontId="0" fillId="0" borderId="84" xfId="0" applyBorder="1" applyAlignment="1">
      <alignment horizontal="center" vertical="center"/>
    </xf>
    <xf numFmtId="0" fontId="2" fillId="6" borderId="18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6" fillId="6" borderId="44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/>
    </xf>
    <xf numFmtId="0" fontId="2" fillId="6" borderId="83" xfId="0" applyFont="1" applyFill="1" applyBorder="1" applyAlignment="1">
      <alignment horizontal="center"/>
    </xf>
    <xf numFmtId="0" fontId="2" fillId="6" borderId="141" xfId="0" applyFont="1" applyFill="1" applyBorder="1" applyAlignment="1">
      <alignment vertical="center"/>
    </xf>
    <xf numFmtId="0" fontId="2" fillId="6" borderId="142" xfId="0" applyFont="1" applyFill="1" applyBorder="1" applyAlignment="1">
      <alignment vertical="center"/>
    </xf>
    <xf numFmtId="0" fontId="2" fillId="0" borderId="1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2" fillId="6" borderId="143" xfId="0" applyFont="1" applyFill="1" applyBorder="1" applyAlignment="1">
      <alignment horizontal="center"/>
    </xf>
    <xf numFmtId="0" fontId="2" fillId="6" borderId="54" xfId="0" applyFont="1" applyFill="1" applyBorder="1" applyAlignment="1">
      <alignment horizontal="center"/>
    </xf>
    <xf numFmtId="0" fontId="1" fillId="6" borderId="11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83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/>
    </xf>
    <xf numFmtId="0" fontId="6" fillId="6" borderId="68" xfId="0" applyFont="1" applyFill="1" applyBorder="1" applyAlignment="1">
      <alignment horizontal="center" vertical="center"/>
    </xf>
    <xf numFmtId="0" fontId="6" fillId="6" borderId="144" xfId="0" applyFont="1" applyFill="1" applyBorder="1" applyAlignment="1">
      <alignment horizontal="center" vertical="center"/>
    </xf>
    <xf numFmtId="0" fontId="6" fillId="6" borderId="145" xfId="0" applyFont="1" applyFill="1" applyBorder="1" applyAlignment="1">
      <alignment horizontal="center" vertical="center"/>
    </xf>
    <xf numFmtId="0" fontId="1" fillId="0" borderId="146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0" borderId="148" xfId="0" applyFont="1" applyBorder="1" applyAlignment="1">
      <alignment horizontal="center"/>
    </xf>
    <xf numFmtId="173" fontId="6" fillId="2" borderId="149" xfId="0" applyNumberFormat="1" applyFont="1" applyFill="1" applyBorder="1" applyAlignment="1">
      <alignment horizontal="center"/>
    </xf>
    <xf numFmtId="173" fontId="6" fillId="2" borderId="8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0" fillId="0" borderId="18" xfId="0" applyBorder="1" applyAlignment="1">
      <alignment horizontal="center"/>
    </xf>
    <xf numFmtId="0" fontId="0" fillId="0" borderId="111" xfId="0" applyBorder="1" applyAlignment="1">
      <alignment horizontal="center"/>
    </xf>
    <xf numFmtId="2" fontId="11" fillId="7" borderId="1" xfId="0" applyNumberFormat="1" applyFont="1" applyFill="1" applyBorder="1" applyAlignment="1">
      <alignment horizontal="center"/>
    </xf>
    <xf numFmtId="2" fontId="11" fillId="7" borderId="18" xfId="0" applyNumberFormat="1" applyFont="1" applyFill="1" applyBorder="1" applyAlignment="1">
      <alignment horizontal="center"/>
    </xf>
    <xf numFmtId="0" fontId="3" fillId="6" borderId="33" xfId="0" applyFont="1" applyFill="1" applyBorder="1" applyAlignment="1">
      <alignment horizontal="left" vertical="center" indent="2"/>
    </xf>
    <xf numFmtId="0" fontId="3" fillId="6" borderId="34" xfId="0" applyFont="1" applyFill="1" applyBorder="1" applyAlignment="1">
      <alignment horizontal="left" vertical="center" indent="2"/>
    </xf>
    <xf numFmtId="0" fontId="3" fillId="6" borderId="35" xfId="0" applyFont="1" applyFill="1" applyBorder="1" applyAlignment="1">
      <alignment horizontal="left" vertical="center" indent="2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1" fillId="0" borderId="0" xfId="0" applyFont="1" applyFill="1" applyAlignment="1">
      <alignment horizontal="left" indent="2"/>
    </xf>
    <xf numFmtId="0" fontId="11" fillId="0" borderId="36" xfId="0" applyFont="1" applyFill="1" applyBorder="1" applyAlignment="1">
      <alignment horizontal="left" indent="2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6" borderId="84" xfId="0" applyFont="1" applyFill="1" applyBorder="1" applyAlignment="1">
      <alignment horizontal="center"/>
    </xf>
    <xf numFmtId="0" fontId="21" fillId="2" borderId="82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3" fillId="0" borderId="15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73" fontId="8" fillId="2" borderId="72" xfId="0" applyNumberFormat="1" applyFont="1" applyFill="1" applyBorder="1" applyAlignment="1">
      <alignment horizontal="center"/>
    </xf>
    <xf numFmtId="173" fontId="8" fillId="2" borderId="84" xfId="0" applyNumberFormat="1" applyFont="1" applyFill="1" applyBorder="1" applyAlignment="1">
      <alignment horizontal="center"/>
    </xf>
    <xf numFmtId="2" fontId="8" fillId="2" borderId="151" xfId="0" applyNumberFormat="1" applyFont="1" applyFill="1" applyBorder="1" applyAlignment="1">
      <alignment horizontal="center"/>
    </xf>
    <xf numFmtId="2" fontId="8" fillId="2" borderId="6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0" borderId="7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151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3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36" xfId="0" applyFont="1" applyBorder="1" applyAlignment="1">
      <alignment horizontal="right"/>
    </xf>
    <xf numFmtId="0" fontId="23" fillId="0" borderId="72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173" fontId="21" fillId="2" borderId="152" xfId="0" applyNumberFormat="1" applyFont="1" applyFill="1" applyBorder="1" applyAlignment="1">
      <alignment horizontal="center"/>
    </xf>
    <xf numFmtId="173" fontId="21" fillId="2" borderId="153" xfId="0" applyNumberFormat="1" applyFont="1" applyFill="1" applyBorder="1" applyAlignment="1">
      <alignment horizontal="center"/>
    </xf>
    <xf numFmtId="173" fontId="21" fillId="2" borderId="63" xfId="0" applyNumberFormat="1" applyFont="1" applyFill="1" applyBorder="1" applyAlignment="1">
      <alignment horizontal="center"/>
    </xf>
    <xf numFmtId="173" fontId="21" fillId="2" borderId="2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3" fillId="6" borderId="1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173" fontId="8" fillId="2" borderId="83" xfId="0" applyNumberFormat="1" applyFont="1" applyFill="1" applyBorder="1" applyAlignment="1">
      <alignment horizontal="center"/>
    </xf>
    <xf numFmtId="0" fontId="23" fillId="0" borderId="143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134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49</xdr:row>
      <xdr:rowOff>152400</xdr:rowOff>
    </xdr:from>
    <xdr:to>
      <xdr:col>13</xdr:col>
      <xdr:colOff>219075</xdr:colOff>
      <xdr:row>54</xdr:row>
      <xdr:rowOff>19050</xdr:rowOff>
    </xdr:to>
    <xdr:sp>
      <xdr:nvSpPr>
        <xdr:cNvPr id="1" name="AutoShape 7"/>
        <xdr:cNvSpPr>
          <a:spLocks/>
        </xdr:cNvSpPr>
      </xdr:nvSpPr>
      <xdr:spPr>
        <a:xfrm rot="16193675" flipV="1">
          <a:off x="2762250" y="12049125"/>
          <a:ext cx="12649200" cy="742950"/>
        </a:xfrm>
        <a:prstGeom prst="leftBrace">
          <a:avLst>
            <a:gd name="adj1" fmla="val -47726"/>
            <a:gd name="adj2" fmla="val 1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209550</xdr:rowOff>
    </xdr:from>
    <xdr:to>
      <xdr:col>9</xdr:col>
      <xdr:colOff>0</xdr:colOff>
      <xdr:row>49</xdr:row>
      <xdr:rowOff>0</xdr:rowOff>
    </xdr:to>
    <xdr:sp>
      <xdr:nvSpPr>
        <xdr:cNvPr id="2" name="Line 9"/>
        <xdr:cNvSpPr>
          <a:spLocks/>
        </xdr:cNvSpPr>
      </xdr:nvSpPr>
      <xdr:spPr>
        <a:xfrm>
          <a:off x="9363075" y="11715750"/>
          <a:ext cx="1190625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571500</xdr:colOff>
      <xdr:row>49</xdr:row>
      <xdr:rowOff>38100</xdr:rowOff>
    </xdr:to>
    <xdr:sp>
      <xdr:nvSpPr>
        <xdr:cNvPr id="3" name="Line 10"/>
        <xdr:cNvSpPr>
          <a:spLocks/>
        </xdr:cNvSpPr>
      </xdr:nvSpPr>
      <xdr:spPr>
        <a:xfrm flipH="1">
          <a:off x="11915775" y="11734800"/>
          <a:ext cx="57150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64</xdr:row>
      <xdr:rowOff>114300</xdr:rowOff>
    </xdr:from>
    <xdr:to>
      <xdr:col>5</xdr:col>
      <xdr:colOff>600075</xdr:colOff>
      <xdr:row>80</xdr:row>
      <xdr:rowOff>9525</xdr:rowOff>
    </xdr:to>
    <xdr:grpSp>
      <xdr:nvGrpSpPr>
        <xdr:cNvPr id="1" name="Group 285"/>
        <xdr:cNvGrpSpPr>
          <a:grpSpLocks/>
        </xdr:cNvGrpSpPr>
      </xdr:nvGrpSpPr>
      <xdr:grpSpPr>
        <a:xfrm>
          <a:off x="552450" y="13144500"/>
          <a:ext cx="6057900" cy="2733675"/>
          <a:chOff x="58" y="1376"/>
          <a:chExt cx="636" cy="287"/>
        </a:xfrm>
        <a:solidFill>
          <a:srgbClr val="FFFFFF"/>
        </a:solidFill>
      </xdr:grpSpPr>
      <xdr:sp>
        <xdr:nvSpPr>
          <xdr:cNvPr id="2" name="Rectangle 134"/>
          <xdr:cNvSpPr>
            <a:spLocks/>
          </xdr:cNvSpPr>
        </xdr:nvSpPr>
        <xdr:spPr>
          <a:xfrm>
            <a:off x="77" y="1417"/>
            <a:ext cx="430" cy="1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Niveau de forage 3 ou NIVEAU SUPÉRIEUR</a:t>
            </a:r>
          </a:p>
        </xdr:txBody>
      </xdr:sp>
      <xdr:sp>
        <xdr:nvSpPr>
          <xdr:cNvPr id="3" name="Rectangle 135"/>
          <xdr:cNvSpPr>
            <a:spLocks/>
          </xdr:cNvSpPr>
        </xdr:nvSpPr>
        <xdr:spPr>
          <a:xfrm>
            <a:off x="77" y="1492"/>
            <a:ext cx="430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Sous-niveau de forage 2</a:t>
            </a:r>
          </a:p>
        </xdr:txBody>
      </xdr:sp>
      <xdr:sp>
        <xdr:nvSpPr>
          <xdr:cNvPr id="4" name="Rectangle 136"/>
          <xdr:cNvSpPr>
            <a:spLocks/>
          </xdr:cNvSpPr>
        </xdr:nvSpPr>
        <xdr:spPr>
          <a:xfrm>
            <a:off x="81" y="1569"/>
            <a:ext cx="430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Sous-niveau de forage 1</a:t>
            </a:r>
          </a:p>
        </xdr:txBody>
      </xdr:sp>
      <xdr:sp>
        <xdr:nvSpPr>
          <xdr:cNvPr id="5" name="Rectangle 138"/>
          <xdr:cNvSpPr>
            <a:spLocks/>
          </xdr:cNvSpPr>
        </xdr:nvSpPr>
        <xdr:spPr>
          <a:xfrm>
            <a:off x="483" y="1432"/>
            <a:ext cx="16" cy="60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39"/>
          <xdr:cNvSpPr>
            <a:spLocks/>
          </xdr:cNvSpPr>
        </xdr:nvSpPr>
        <xdr:spPr>
          <a:xfrm>
            <a:off x="481" y="1513"/>
            <a:ext cx="16" cy="56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40"/>
          <xdr:cNvSpPr>
            <a:spLocks/>
          </xdr:cNvSpPr>
        </xdr:nvSpPr>
        <xdr:spPr>
          <a:xfrm>
            <a:off x="481" y="1590"/>
            <a:ext cx="16" cy="69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41"/>
          <xdr:cNvSpPr txBox="1">
            <a:spLocks noChangeArrowheads="1"/>
          </xdr:cNvSpPr>
        </xdr:nvSpPr>
        <xdr:spPr>
          <a:xfrm>
            <a:off x="584" y="1520"/>
            <a:ext cx="110" cy="42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Monteries
ascendantes</a:t>
            </a:r>
          </a:p>
        </xdr:txBody>
      </xdr:sp>
      <xdr:sp>
        <xdr:nvSpPr>
          <xdr:cNvPr id="9" name="AutoShape 142"/>
          <xdr:cNvSpPr>
            <a:spLocks/>
          </xdr:cNvSpPr>
        </xdr:nvSpPr>
        <xdr:spPr>
          <a:xfrm rot="5400000">
            <a:off x="536" y="1523"/>
            <a:ext cx="63" cy="142"/>
          </a:xfrm>
          <a:prstGeom prst="curvedConnector2">
            <a:avLst>
              <a:gd name="adj1" fmla="val -1064287"/>
              <a:gd name="adj2" fmla="val -1150000"/>
              <a:gd name="adj3" fmla="val -1064287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43"/>
          <xdr:cNvSpPr>
            <a:spLocks/>
          </xdr:cNvSpPr>
        </xdr:nvSpPr>
        <xdr:spPr>
          <a:xfrm rot="10800000">
            <a:off x="497" y="1541"/>
            <a:ext cx="87" cy="0"/>
          </a:xfrm>
          <a:prstGeom prst="straightConnector1">
            <a:avLst>
              <a:gd name="adj1" fmla="val -721263"/>
              <a:gd name="adj2" fmla="val -50004"/>
              <a:gd name="adj3" fmla="val -721263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44"/>
          <xdr:cNvSpPr>
            <a:spLocks/>
          </xdr:cNvSpPr>
        </xdr:nvSpPr>
        <xdr:spPr>
          <a:xfrm rot="5400000" flipH="1">
            <a:off x="540" y="1421"/>
            <a:ext cx="58" cy="140"/>
          </a:xfrm>
          <a:prstGeom prst="curvedConnector2">
            <a:avLst>
              <a:gd name="adj1" fmla="val -1151722"/>
              <a:gd name="adj2" fmla="val 1035712"/>
              <a:gd name="adj3" fmla="val -1151722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46"/>
          <xdr:cNvSpPr txBox="1">
            <a:spLocks noChangeArrowheads="1"/>
          </xdr:cNvSpPr>
        </xdr:nvSpPr>
        <xdr:spPr>
          <a:xfrm>
            <a:off x="58" y="1376"/>
            <a:ext cx="315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Schéma typique - Longs Trous</a:t>
            </a:r>
          </a:p>
        </xdr:txBody>
      </xdr:sp>
      <xdr:sp>
        <xdr:nvSpPr>
          <xdr:cNvPr id="13" name="Rectangle 137"/>
          <xdr:cNvSpPr>
            <a:spLocks/>
          </xdr:cNvSpPr>
        </xdr:nvSpPr>
        <xdr:spPr>
          <a:xfrm>
            <a:off x="81" y="1643"/>
            <a:ext cx="43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NIVEAU INFÉRIEUR</a:t>
            </a:r>
          </a:p>
        </xdr:txBody>
      </xdr:sp>
    </xdr:grpSp>
    <xdr:clientData/>
  </xdr:twoCellAnchor>
  <xdr:twoCellAnchor>
    <xdr:from>
      <xdr:col>7</xdr:col>
      <xdr:colOff>533400</xdr:colOff>
      <xdr:row>272</xdr:row>
      <xdr:rowOff>85725</xdr:rowOff>
    </xdr:from>
    <xdr:to>
      <xdr:col>7</xdr:col>
      <xdr:colOff>533400</xdr:colOff>
      <xdr:row>275</xdr:row>
      <xdr:rowOff>114300</xdr:rowOff>
    </xdr:to>
    <xdr:sp>
      <xdr:nvSpPr>
        <xdr:cNvPr id="14" name="Line 651"/>
        <xdr:cNvSpPr>
          <a:spLocks/>
        </xdr:cNvSpPr>
      </xdr:nvSpPr>
      <xdr:spPr>
        <a:xfrm>
          <a:off x="8782050" y="52292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326</xdr:row>
      <xdr:rowOff>0</xdr:rowOff>
    </xdr:from>
    <xdr:to>
      <xdr:col>20</xdr:col>
      <xdr:colOff>495300</xdr:colOff>
      <xdr:row>326</xdr:row>
      <xdr:rowOff>0</xdr:rowOff>
    </xdr:to>
    <xdr:sp>
      <xdr:nvSpPr>
        <xdr:cNvPr id="15" name="Line 652"/>
        <xdr:cNvSpPr>
          <a:spLocks/>
        </xdr:cNvSpPr>
      </xdr:nvSpPr>
      <xdr:spPr>
        <a:xfrm>
          <a:off x="20450175" y="639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326</xdr:row>
      <xdr:rowOff>0</xdr:rowOff>
    </xdr:from>
    <xdr:to>
      <xdr:col>20</xdr:col>
      <xdr:colOff>495300</xdr:colOff>
      <xdr:row>326</xdr:row>
      <xdr:rowOff>0</xdr:rowOff>
    </xdr:to>
    <xdr:sp>
      <xdr:nvSpPr>
        <xdr:cNvPr id="16" name="Line 653"/>
        <xdr:cNvSpPr>
          <a:spLocks/>
        </xdr:cNvSpPr>
      </xdr:nvSpPr>
      <xdr:spPr>
        <a:xfrm>
          <a:off x="20450175" y="6399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272</xdr:row>
      <xdr:rowOff>57150</xdr:rowOff>
    </xdr:from>
    <xdr:to>
      <xdr:col>10</xdr:col>
      <xdr:colOff>523875</xdr:colOff>
      <xdr:row>275</xdr:row>
      <xdr:rowOff>76200</xdr:rowOff>
    </xdr:to>
    <xdr:sp>
      <xdr:nvSpPr>
        <xdr:cNvPr id="17" name="Line 654"/>
        <xdr:cNvSpPr>
          <a:spLocks/>
        </xdr:cNvSpPr>
      </xdr:nvSpPr>
      <xdr:spPr>
        <a:xfrm flipH="1">
          <a:off x="11772900" y="522636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287</xdr:row>
      <xdr:rowOff>47625</xdr:rowOff>
    </xdr:from>
    <xdr:to>
      <xdr:col>12</xdr:col>
      <xdr:colOff>485775</xdr:colOff>
      <xdr:row>287</xdr:row>
      <xdr:rowOff>228600</xdr:rowOff>
    </xdr:to>
    <xdr:sp>
      <xdr:nvSpPr>
        <xdr:cNvPr id="18" name="Line 663"/>
        <xdr:cNvSpPr>
          <a:spLocks/>
        </xdr:cNvSpPr>
      </xdr:nvSpPr>
      <xdr:spPr>
        <a:xfrm>
          <a:off x="14220825" y="550449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272</xdr:row>
      <xdr:rowOff>47625</xdr:rowOff>
    </xdr:from>
    <xdr:to>
      <xdr:col>11</xdr:col>
      <xdr:colOff>447675</xdr:colOff>
      <xdr:row>275</xdr:row>
      <xdr:rowOff>66675</xdr:rowOff>
    </xdr:to>
    <xdr:sp>
      <xdr:nvSpPr>
        <xdr:cNvPr id="19" name="Line 728"/>
        <xdr:cNvSpPr>
          <a:spLocks/>
        </xdr:cNvSpPr>
      </xdr:nvSpPr>
      <xdr:spPr>
        <a:xfrm flipH="1">
          <a:off x="13077825" y="52254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5</xdr:row>
      <xdr:rowOff>57150</xdr:rowOff>
    </xdr:from>
    <xdr:to>
      <xdr:col>6</xdr:col>
      <xdr:colOff>171450</xdr:colOff>
      <xdr:row>6</xdr:row>
      <xdr:rowOff>57150</xdr:rowOff>
    </xdr:to>
    <xdr:sp>
      <xdr:nvSpPr>
        <xdr:cNvPr id="1" name="Rectangle 88"/>
        <xdr:cNvSpPr>
          <a:spLocks/>
        </xdr:cNvSpPr>
      </xdr:nvSpPr>
      <xdr:spPr>
        <a:xfrm>
          <a:off x="638175" y="866775"/>
          <a:ext cx="3981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Niveau de forage 3 ou NIVEAU SUPÉRIEUR</a:t>
          </a:r>
        </a:p>
      </xdr:txBody>
    </xdr:sp>
    <xdr:clientData/>
  </xdr:twoCellAnchor>
  <xdr:twoCellAnchor>
    <xdr:from>
      <xdr:col>0</xdr:col>
      <xdr:colOff>638175</xdr:colOff>
      <xdr:row>9</xdr:row>
      <xdr:rowOff>133350</xdr:rowOff>
    </xdr:from>
    <xdr:to>
      <xdr:col>6</xdr:col>
      <xdr:colOff>171450</xdr:colOff>
      <xdr:row>11</xdr:row>
      <xdr:rowOff>0</xdr:rowOff>
    </xdr:to>
    <xdr:sp>
      <xdr:nvSpPr>
        <xdr:cNvPr id="2" name="Rectangle 89"/>
        <xdr:cNvSpPr>
          <a:spLocks/>
        </xdr:cNvSpPr>
      </xdr:nvSpPr>
      <xdr:spPr>
        <a:xfrm>
          <a:off x="638175" y="1590675"/>
          <a:ext cx="39814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Sous-niveau de forage 2</a:t>
          </a:r>
        </a:p>
      </xdr:txBody>
    </xdr:sp>
    <xdr:clientData/>
  </xdr:twoCellAnchor>
  <xdr:twoCellAnchor>
    <xdr:from>
      <xdr:col>0</xdr:col>
      <xdr:colOff>638175</xdr:colOff>
      <xdr:row>14</xdr:row>
      <xdr:rowOff>57150</xdr:rowOff>
    </xdr:from>
    <xdr:to>
      <xdr:col>6</xdr:col>
      <xdr:colOff>209550</xdr:colOff>
      <xdr:row>15</xdr:row>
      <xdr:rowOff>95250</xdr:rowOff>
    </xdr:to>
    <xdr:sp>
      <xdr:nvSpPr>
        <xdr:cNvPr id="3" name="Rectangle 90"/>
        <xdr:cNvSpPr>
          <a:spLocks/>
        </xdr:cNvSpPr>
      </xdr:nvSpPr>
      <xdr:spPr>
        <a:xfrm>
          <a:off x="638175" y="2324100"/>
          <a:ext cx="401955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Sous-niveau de forage 1</a:t>
          </a:r>
        </a:p>
      </xdr:txBody>
    </xdr:sp>
    <xdr:clientData/>
  </xdr:twoCellAnchor>
  <xdr:twoCellAnchor>
    <xdr:from>
      <xdr:col>5</xdr:col>
      <xdr:colOff>704850</xdr:colOff>
      <xdr:row>6</xdr:row>
      <xdr:rowOff>38100</xdr:rowOff>
    </xdr:from>
    <xdr:to>
      <xdr:col>6</xdr:col>
      <xdr:colOff>95250</xdr:colOff>
      <xdr:row>9</xdr:row>
      <xdr:rowOff>123825</xdr:rowOff>
    </xdr:to>
    <xdr:sp>
      <xdr:nvSpPr>
        <xdr:cNvPr id="4" name="Rectangle 91"/>
        <xdr:cNvSpPr>
          <a:spLocks/>
        </xdr:cNvSpPr>
      </xdr:nvSpPr>
      <xdr:spPr>
        <a:xfrm>
          <a:off x="4391025" y="1009650"/>
          <a:ext cx="152400" cy="5715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11</xdr:row>
      <xdr:rowOff>0</xdr:rowOff>
    </xdr:from>
    <xdr:to>
      <xdr:col>6</xdr:col>
      <xdr:colOff>76200</xdr:colOff>
      <xdr:row>14</xdr:row>
      <xdr:rowOff>47625</xdr:rowOff>
    </xdr:to>
    <xdr:sp>
      <xdr:nvSpPr>
        <xdr:cNvPr id="5" name="Rectangle 92"/>
        <xdr:cNvSpPr>
          <a:spLocks/>
        </xdr:cNvSpPr>
      </xdr:nvSpPr>
      <xdr:spPr>
        <a:xfrm>
          <a:off x="4371975" y="1781175"/>
          <a:ext cx="152400" cy="5334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15</xdr:row>
      <xdr:rowOff>95250</xdr:rowOff>
    </xdr:from>
    <xdr:to>
      <xdr:col>6</xdr:col>
      <xdr:colOff>76200</xdr:colOff>
      <xdr:row>19</xdr:row>
      <xdr:rowOff>104775</xdr:rowOff>
    </xdr:to>
    <xdr:sp>
      <xdr:nvSpPr>
        <xdr:cNvPr id="6" name="Rectangle 93"/>
        <xdr:cNvSpPr>
          <a:spLocks/>
        </xdr:cNvSpPr>
      </xdr:nvSpPr>
      <xdr:spPr>
        <a:xfrm>
          <a:off x="4371975" y="2524125"/>
          <a:ext cx="152400" cy="657225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11</xdr:row>
      <xdr:rowOff>66675</xdr:rowOff>
    </xdr:from>
    <xdr:to>
      <xdr:col>8</xdr:col>
      <xdr:colOff>409575</xdr:colOff>
      <xdr:row>13</xdr:row>
      <xdr:rowOff>142875</xdr:rowOff>
    </xdr:to>
    <xdr:sp>
      <xdr:nvSpPr>
        <xdr:cNvPr id="7" name="TextBox 94"/>
        <xdr:cNvSpPr txBox="1">
          <a:spLocks noChangeArrowheads="1"/>
        </xdr:cNvSpPr>
      </xdr:nvSpPr>
      <xdr:spPr>
        <a:xfrm>
          <a:off x="5343525" y="1847850"/>
          <a:ext cx="1038225" cy="40005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Monteries
ascendantes</a:t>
          </a:r>
        </a:p>
      </xdr:txBody>
    </xdr:sp>
    <xdr:clientData/>
  </xdr:twoCellAnchor>
  <xdr:twoCellAnchor>
    <xdr:from>
      <xdr:col>6</xdr:col>
      <xdr:colOff>76200</xdr:colOff>
      <xdr:row>13</xdr:row>
      <xdr:rowOff>142875</xdr:rowOff>
    </xdr:from>
    <xdr:to>
      <xdr:col>7</xdr:col>
      <xdr:colOff>657225</xdr:colOff>
      <xdr:row>17</xdr:row>
      <xdr:rowOff>104775</xdr:rowOff>
    </xdr:to>
    <xdr:sp>
      <xdr:nvSpPr>
        <xdr:cNvPr id="8" name="AutoShape 95"/>
        <xdr:cNvSpPr>
          <a:spLocks/>
        </xdr:cNvSpPr>
      </xdr:nvSpPr>
      <xdr:spPr>
        <a:xfrm rot="5400000">
          <a:off x="4524375" y="2247900"/>
          <a:ext cx="1343025" cy="609600"/>
        </a:xfrm>
        <a:prstGeom prst="curvedConnector2">
          <a:avLst>
            <a:gd name="adj1" fmla="val -1032814"/>
            <a:gd name="adj2" fmla="val -217375"/>
            <a:gd name="adj3" fmla="val -10328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104775</xdr:rowOff>
    </xdr:from>
    <xdr:to>
      <xdr:col>7</xdr:col>
      <xdr:colOff>133350</xdr:colOff>
      <xdr:row>12</xdr:row>
      <xdr:rowOff>104775</xdr:rowOff>
    </xdr:to>
    <xdr:sp>
      <xdr:nvSpPr>
        <xdr:cNvPr id="9" name="AutoShape 96"/>
        <xdr:cNvSpPr>
          <a:spLocks/>
        </xdr:cNvSpPr>
      </xdr:nvSpPr>
      <xdr:spPr>
        <a:xfrm rot="10800000">
          <a:off x="4524375" y="2047875"/>
          <a:ext cx="819150" cy="0"/>
        </a:xfrm>
        <a:prstGeom prst="straightConnector1">
          <a:avLst>
            <a:gd name="adj1" fmla="val -717439"/>
            <a:gd name="adj2" fmla="val -50004"/>
            <a:gd name="adj3" fmla="val -7174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0</xdr:rowOff>
    </xdr:from>
    <xdr:to>
      <xdr:col>7</xdr:col>
      <xdr:colOff>657225</xdr:colOff>
      <xdr:row>11</xdr:row>
      <xdr:rowOff>66675</xdr:rowOff>
    </xdr:to>
    <xdr:sp>
      <xdr:nvSpPr>
        <xdr:cNvPr id="10" name="AutoShape 97"/>
        <xdr:cNvSpPr>
          <a:spLocks/>
        </xdr:cNvSpPr>
      </xdr:nvSpPr>
      <xdr:spPr>
        <a:xfrm rot="5400000" flipH="1">
          <a:off x="4543425" y="1295400"/>
          <a:ext cx="1323975" cy="552450"/>
        </a:xfrm>
        <a:prstGeom prst="curvedConnector2">
          <a:avLst>
            <a:gd name="adj1" fmla="val -1134481"/>
            <a:gd name="adj2" fmla="val 89569"/>
            <a:gd name="adj3" fmla="val -113448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</xdr:row>
      <xdr:rowOff>0</xdr:rowOff>
    </xdr:from>
    <xdr:to>
      <xdr:col>4</xdr:col>
      <xdr:colOff>257175</xdr:colOff>
      <xdr:row>4</xdr:row>
      <xdr:rowOff>123825</xdr:rowOff>
    </xdr:to>
    <xdr:sp>
      <xdr:nvSpPr>
        <xdr:cNvPr id="11" name="TextBox 98"/>
        <xdr:cNvSpPr txBox="1">
          <a:spLocks noChangeArrowheads="1"/>
        </xdr:cNvSpPr>
      </xdr:nvSpPr>
      <xdr:spPr>
        <a:xfrm>
          <a:off x="333375" y="485775"/>
          <a:ext cx="2847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Schéma typique - Longs Trous</a:t>
          </a:r>
        </a:p>
      </xdr:txBody>
    </xdr:sp>
    <xdr:clientData/>
  </xdr:twoCellAnchor>
  <xdr:twoCellAnchor>
    <xdr:from>
      <xdr:col>0</xdr:col>
      <xdr:colOff>638175</xdr:colOff>
      <xdr:row>18</xdr:row>
      <xdr:rowOff>114300</xdr:rowOff>
    </xdr:from>
    <xdr:to>
      <xdr:col>6</xdr:col>
      <xdr:colOff>209550</xdr:colOff>
      <xdr:row>19</xdr:row>
      <xdr:rowOff>142875</xdr:rowOff>
    </xdr:to>
    <xdr:sp>
      <xdr:nvSpPr>
        <xdr:cNvPr id="12" name="Rectangle 99"/>
        <xdr:cNvSpPr>
          <a:spLocks/>
        </xdr:cNvSpPr>
      </xdr:nvSpPr>
      <xdr:spPr>
        <a:xfrm>
          <a:off x="638175" y="3028950"/>
          <a:ext cx="401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NIVEAU INFÉRIEUR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50" zoomScaleNormal="50" workbookViewId="0" topLeftCell="A11">
      <selection activeCell="D9" sqref="D9:E14"/>
    </sheetView>
  </sheetViews>
  <sheetFormatPr defaultColWidth="9.140625" defaultRowHeight="12.75"/>
  <cols>
    <col min="1" max="1" width="13.421875" style="0" customWidth="1"/>
    <col min="2" max="2" width="10.7109375" style="0" customWidth="1"/>
    <col min="3" max="3" width="24.00390625" style="0" customWidth="1"/>
    <col min="4" max="4" width="9.7109375" style="0" customWidth="1"/>
    <col min="5" max="5" width="18.28125" style="0" customWidth="1"/>
    <col min="6" max="6" width="23.28125" style="0" customWidth="1"/>
    <col min="7" max="7" width="24.8515625" style="0" customWidth="1"/>
    <col min="8" max="8" width="13.8515625" style="0" customWidth="1"/>
    <col min="9" max="9" width="18.421875" style="0" customWidth="1"/>
    <col min="10" max="10" width="22.57421875" style="0" customWidth="1"/>
    <col min="11" max="11" width="14.00390625" style="0" customWidth="1"/>
    <col min="12" max="12" width="20.57421875" style="0" customWidth="1"/>
    <col min="13" max="13" width="23.421875" style="0" customWidth="1"/>
    <col min="14" max="16384" width="11.421875" style="0" customWidth="1"/>
  </cols>
  <sheetData>
    <row r="1" ht="41.25">
      <c r="B1" s="432" t="s">
        <v>111</v>
      </c>
    </row>
    <row r="3" spans="2:12" ht="41.25">
      <c r="B3" s="432" t="s">
        <v>86</v>
      </c>
      <c r="L3" s="433"/>
    </row>
    <row r="4" ht="18.75" thickBot="1">
      <c r="L4" s="76" t="s">
        <v>434</v>
      </c>
    </row>
    <row r="5" spans="3:13" ht="49.5" customHeight="1" thickBot="1" thickTop="1">
      <c r="C5" s="429" t="s">
        <v>415</v>
      </c>
      <c r="D5" s="645" t="s">
        <v>50</v>
      </c>
      <c r="E5" s="645"/>
      <c r="F5" s="646" t="s">
        <v>117</v>
      </c>
      <c r="G5" s="646"/>
      <c r="H5" s="646" t="s">
        <v>48</v>
      </c>
      <c r="I5" s="646"/>
      <c r="J5" s="646"/>
      <c r="K5" s="646" t="s">
        <v>111</v>
      </c>
      <c r="L5" s="646"/>
      <c r="M5" s="646"/>
    </row>
    <row r="6" spans="2:13" ht="49.5" customHeight="1" thickBot="1">
      <c r="B6" s="434" t="s">
        <v>244</v>
      </c>
      <c r="C6" s="431" t="s">
        <v>406</v>
      </c>
      <c r="D6" s="647" t="s">
        <v>273</v>
      </c>
      <c r="E6" s="647"/>
      <c r="F6" s="435" t="s">
        <v>1</v>
      </c>
      <c r="G6" s="436" t="s">
        <v>87</v>
      </c>
      <c r="H6" s="437" t="s">
        <v>1</v>
      </c>
      <c r="I6" s="438" t="s">
        <v>49</v>
      </c>
      <c r="J6" s="439" t="s">
        <v>6</v>
      </c>
      <c r="K6" s="435" t="s">
        <v>1</v>
      </c>
      <c r="L6" s="438" t="s">
        <v>49</v>
      </c>
      <c r="M6" s="440" t="s">
        <v>6</v>
      </c>
    </row>
    <row r="7" spans="2:13" ht="72" customHeight="1" thickTop="1">
      <c r="B7" s="441">
        <v>1</v>
      </c>
      <c r="C7" s="597"/>
      <c r="D7" s="598"/>
      <c r="E7" s="598"/>
      <c r="F7" s="659" t="str">
        <f>CONCATENATE("Activités fixes à chaque quart                                                                                               ",'Longs Trous'!E22," heures/quart                                                                                                                                                                                                                 (section 1.0)")</f>
        <v>Activités fixes à chaque quart                                                                                               2.13 heures/quart                                                                                                                                                                                                                 (section 1.0)</v>
      </c>
      <c r="G7" s="659"/>
      <c r="H7" s="659"/>
      <c r="I7" s="659"/>
      <c r="J7" s="659"/>
      <c r="K7" s="598"/>
      <c r="L7" s="598"/>
      <c r="M7" s="599"/>
    </row>
    <row r="8" spans="2:13" ht="72" customHeight="1">
      <c r="B8" s="442">
        <v>2</v>
      </c>
      <c r="C8" s="600"/>
      <c r="D8" s="601"/>
      <c r="E8" s="601"/>
      <c r="F8" s="639"/>
      <c r="G8" s="639"/>
      <c r="H8" s="639"/>
      <c r="I8" s="639"/>
      <c r="J8" s="639"/>
      <c r="K8" s="601"/>
      <c r="L8" s="601"/>
      <c r="M8" s="602"/>
    </row>
    <row r="9" spans="2:13" ht="78" customHeight="1">
      <c r="B9" s="442">
        <v>3</v>
      </c>
      <c r="C9" s="430" t="str">
        <f>CONCATENATE("Préparation        ( ",'Longs Trous'!E35,"   h)                 (section 2.0)")</f>
        <v>Préparation        ( 1   h)                 (section 2.0)</v>
      </c>
      <c r="D9" s="648" t="str">
        <f>CONCATENATE(ROUND('Longs Trous'!E63/COUNTIF('Longs Trous'!B118:B123,"&gt;0"),2)," heures/     sous-niveau                        à ",'Longs Trous'!C63," hommes         (section 3.0)")</f>
        <v>3.83 heures/     sous-niveau                        à 2 hommes         (section 3.0)</v>
      </c>
      <c r="E9" s="649"/>
      <c r="F9" s="430" t="str">
        <f>CONCATENATE("Préparation          ( ",'Longs Trous'!L142/60," h/quart)  (section 4.3)")</f>
        <v>Préparation          ( 0.3 h/quart)  (section 4.3)</v>
      </c>
      <c r="G9" s="654" t="str">
        <f>CONCATENATE("Temps fixes         ( ",'Longs Trous'!E45,"  h /       sous-niveau)           (section 2.0)")</f>
        <v>Temps fixes         ( 2.17  h /       sous-niveau)           (section 2.0)</v>
      </c>
      <c r="H9" s="657" t="str">
        <f>CONCATENATE("Préparation                      ( ",'Longs Trous'!L142/60," h/quart)                (section 4.3)")</f>
        <v>Préparation                      ( 0.3 h/quart)                (section 4.3)</v>
      </c>
      <c r="I9" s="658"/>
      <c r="J9" s="654" t="str">
        <f>CONCATENATE("Temps fixes         ( ",'Longs Trous'!L45," h / sautage)            (section 2.0)")</f>
        <v>Temps fixes         ( 2.48 h / sautage)            (section 2.0)</v>
      </c>
      <c r="K9" s="657" t="str">
        <f>CONCATENATE("Préparation                      ( ",'Longs Trous'!L142/60," h/quart)                (section 4.3)")</f>
        <v>Préparation                      ( 0.3 h/quart)                (section 4.3)</v>
      </c>
      <c r="L9" s="658"/>
      <c r="M9" s="654" t="str">
        <f>CONCATENATE("Temps fixes         ( ",'Longs Trous'!L45," h/ sautage)            (section 2.0)")</f>
        <v>Temps fixes         ( 2.48 h/ sautage)            (section 2.0)</v>
      </c>
    </row>
    <row r="10" spans="2:13" ht="78" customHeight="1">
      <c r="B10" s="442">
        <v>4</v>
      </c>
      <c r="C10" s="633" t="str">
        <f>CONCATENATE('Longs Trous'!H87," m d'avance/ heure                          à ",'Longs Trous'!J87," hommes  (section 4.1)")</f>
        <v>8 m d'avance/ heure                          à 2 hommes  (section 4.1)</v>
      </c>
      <c r="D10" s="650"/>
      <c r="E10" s="651"/>
      <c r="F10" s="633" t="str">
        <f>CONCATENATE('Longs Trous'!E168,"  m/heure  (section 4.4)")</f>
        <v>14.9  m/heure  (section 4.4)</v>
      </c>
      <c r="G10" s="655"/>
      <c r="H10" s="633" t="str">
        <f>CONCATENATE('Longs Trous'!J133," m/heure                (section 4.3)")</f>
        <v>8.9 m/heure                (section 4.3)</v>
      </c>
      <c r="I10" s="628"/>
      <c r="J10" s="655"/>
      <c r="K10" s="633" t="str">
        <f>CONCATENATE('Longs Trous'!K133," m/heure        (section 4.3)")</f>
        <v>13.9 m/heure        (section 4.3)</v>
      </c>
      <c r="L10" s="628"/>
      <c r="M10" s="655"/>
    </row>
    <row r="11" spans="2:13" ht="78" customHeight="1">
      <c r="B11" s="442">
        <v>5</v>
      </c>
      <c r="C11" s="634"/>
      <c r="D11" s="650"/>
      <c r="E11" s="651"/>
      <c r="F11" s="634"/>
      <c r="G11" s="656"/>
      <c r="H11" s="634"/>
      <c r="I11" s="629"/>
      <c r="J11" s="656"/>
      <c r="K11" s="634"/>
      <c r="L11" s="629"/>
      <c r="M11" s="656"/>
    </row>
    <row r="12" spans="2:13" ht="78" customHeight="1">
      <c r="B12" s="442">
        <v>6</v>
      </c>
      <c r="C12" s="634"/>
      <c r="D12" s="650"/>
      <c r="E12" s="651"/>
      <c r="F12" s="634"/>
      <c r="G12" s="637" t="str">
        <f>CONCATENATE(ROUND('Longs Trous'!K162/SUMPRODUCT('Longs Trous'!D151:D156,'Longs Trous'!E151:E156),2),"  h/trou de          ",ROUND('Longs Trous'!H162/SUMPRODUCT('Longs Trous'!D151:D156,'Longs Trous'!E151:E156),2)," mètres                             à ",'Longs Trous'!L170," hommes     (section 4.4)")</f>
        <v>0.13  h/trou de          5 mètres                             à 2 hommes     (section 4.4)</v>
      </c>
      <c r="H12" s="634"/>
      <c r="I12" s="629"/>
      <c r="J12" s="637" t="str">
        <f>CONCATENATE(ROUND('Longs Trous'!E216,1)," m d'avance/ quart  à                ",'Longs Trous'!M210," hommes    (section 4.5.2)")</f>
        <v>3.1 m d'avance/ quart  à                2 hommes    (section 4.5.2)</v>
      </c>
      <c r="K12" s="634"/>
      <c r="L12" s="629"/>
      <c r="M12" s="637" t="str">
        <f>CONCATENATE('Longs Trous'!E212," rangées/   quart                      à  ",'Longs Trous'!M210," hommes (section 4.5.2)")</f>
        <v>4.7 rangées/   quart                      à  2 hommes (section 4.5.2)</v>
      </c>
    </row>
    <row r="13" spans="2:13" ht="78" customHeight="1">
      <c r="B13" s="442">
        <v>7</v>
      </c>
      <c r="C13" s="634"/>
      <c r="D13" s="650"/>
      <c r="E13" s="651"/>
      <c r="F13" s="634"/>
      <c r="G13" s="638"/>
      <c r="H13" s="634"/>
      <c r="I13" s="629"/>
      <c r="J13" s="638"/>
      <c r="K13" s="634"/>
      <c r="L13" s="629"/>
      <c r="M13" s="638"/>
    </row>
    <row r="14" spans="2:13" ht="98.25" customHeight="1" thickBot="1">
      <c r="B14" s="442">
        <v>8</v>
      </c>
      <c r="C14" s="635"/>
      <c r="D14" s="652"/>
      <c r="E14" s="653"/>
      <c r="F14" s="635"/>
      <c r="G14" s="636"/>
      <c r="H14" s="635"/>
      <c r="I14" s="630"/>
      <c r="J14" s="443" t="str">
        <f>CONCATENATE('Longs Trous'!J111/'Longs Trous'!E111," sautages/  monterie         (section 4.2.1)")</f>
        <v>2 sautages/  monterie         (section 4.2.1)</v>
      </c>
      <c r="K14" s="635"/>
      <c r="L14" s="630"/>
      <c r="M14" s="636"/>
    </row>
    <row r="15" ht="17.25" customHeight="1" thickBot="1" thickTop="1"/>
    <row r="16" spans="1:13" ht="39.75" customHeight="1" thickBot="1" thickTop="1">
      <c r="A16" s="631" t="s">
        <v>60</v>
      </c>
      <c r="B16" s="632"/>
      <c r="C16" s="594" t="str">
        <f>+'Longs Trous'!F318</f>
        <v>18.8 m/q-h</v>
      </c>
      <c r="D16" s="626" t="str">
        <f>+'Longs Trous'!G318</f>
        <v>9 q-h/sous-niv</v>
      </c>
      <c r="E16" s="626"/>
      <c r="F16" s="595" t="str">
        <f>CONCATENATE(ROUND('Longs Trous'!E323,1)," m/q-h")</f>
        <v>76 m/q-h</v>
      </c>
      <c r="G16" s="596" t="str">
        <f>+'Longs Trous'!H318</f>
        <v>94.6 m/q-h</v>
      </c>
      <c r="H16" s="627" t="str">
        <f>CONCATENATE('Longs Trous'!E321," mètres/q-h")</f>
        <v>43 mètres/q-h</v>
      </c>
      <c r="I16" s="624"/>
      <c r="J16" s="596" t="str">
        <f>CONCATENATE(ROUND('Longs Trous'!F321/'Longs Trous'!M210,1)," t/q-h")</f>
        <v>31.6 t/q-h</v>
      </c>
      <c r="K16" s="625" t="str">
        <f>CONCATENATE('Longs Trous'!E322," mètres/q-h")</f>
        <v>67.3 mètres/q-h</v>
      </c>
      <c r="L16" s="621"/>
      <c r="M16" s="596" t="str">
        <f>CONCATENATE('Longs Trous'!F322/'Longs Trous'!M210," t/q-h")</f>
        <v>144.7 t/q-h</v>
      </c>
    </row>
    <row r="17" ht="19.5" customHeight="1"/>
    <row r="18" ht="19.5" customHeight="1">
      <c r="G18" s="381"/>
    </row>
    <row r="19" ht="19.5" customHeight="1">
      <c r="G19" s="381"/>
    </row>
  </sheetData>
  <mergeCells count="23">
    <mergeCell ref="A16:B16"/>
    <mergeCell ref="D16:E16"/>
    <mergeCell ref="H16:I16"/>
    <mergeCell ref="K16:L16"/>
    <mergeCell ref="K9:L9"/>
    <mergeCell ref="M9:M11"/>
    <mergeCell ref="J12:J13"/>
    <mergeCell ref="C10:C14"/>
    <mergeCell ref="F10:F14"/>
    <mergeCell ref="M12:M14"/>
    <mergeCell ref="H10:I14"/>
    <mergeCell ref="K10:L14"/>
    <mergeCell ref="G12:G14"/>
    <mergeCell ref="D6:E6"/>
    <mergeCell ref="D9:E14"/>
    <mergeCell ref="G9:G11"/>
    <mergeCell ref="H9:I9"/>
    <mergeCell ref="F7:J8"/>
    <mergeCell ref="J9:J11"/>
    <mergeCell ref="D5:E5"/>
    <mergeCell ref="F5:G5"/>
    <mergeCell ref="H5:J5"/>
    <mergeCell ref="K5:M5"/>
  </mergeCells>
  <printOptions/>
  <pageMargins left="0.75" right="0.75" top="1" bottom="1" header="0.4921259845" footer="0.4921259845"/>
  <pageSetup fitToHeight="1" fitToWidth="1" horizontalDpi="600" verticalDpi="600" orientation="landscape" scale="52" r:id="rId1"/>
  <headerFooter alignWithMargins="0">
    <oddFooter>&amp;LFichier : &amp;F
Onglet : &amp;A
Page &amp;P de &amp;N&amp;CMine-laboratoire
Val-d'Or&amp;R&amp;T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50" zoomScaleNormal="50" workbookViewId="0" topLeftCell="B1">
      <selection activeCell="L4" sqref="L4"/>
    </sheetView>
  </sheetViews>
  <sheetFormatPr defaultColWidth="9.140625" defaultRowHeight="12.75"/>
  <cols>
    <col min="1" max="1" width="27.28125" style="0" customWidth="1"/>
    <col min="2" max="2" width="12.7109375" style="0" customWidth="1"/>
    <col min="3" max="3" width="18.421875" style="0" customWidth="1"/>
    <col min="4" max="4" width="11.421875" style="0" customWidth="1"/>
    <col min="5" max="5" width="17.140625" style="0" customWidth="1"/>
    <col min="6" max="6" width="13.8515625" style="0" customWidth="1"/>
    <col min="7" max="7" width="24.7109375" style="0" customWidth="1"/>
    <col min="8" max="8" width="14.8515625" style="0" customWidth="1"/>
    <col min="9" max="9" width="17.8515625" style="0" customWidth="1"/>
    <col min="10" max="10" width="20.421875" style="0" customWidth="1"/>
    <col min="11" max="11" width="15.00390625" style="0" customWidth="1"/>
    <col min="12" max="12" width="18.140625" style="0" customWidth="1"/>
    <col min="13" max="13" width="16.00390625" style="0" customWidth="1"/>
    <col min="14" max="16384" width="11.421875" style="0" customWidth="1"/>
  </cols>
  <sheetData>
    <row r="1" ht="41.25">
      <c r="A1" s="432" t="s">
        <v>95</v>
      </c>
    </row>
    <row r="3" spans="1:12" ht="41.25">
      <c r="A3" s="432" t="s">
        <v>150</v>
      </c>
      <c r="L3" s="76" t="s">
        <v>434</v>
      </c>
    </row>
    <row r="4" ht="13.5" thickBot="1"/>
    <row r="5" spans="3:13" ht="28.5" thickBot="1" thickTop="1">
      <c r="C5" s="429" t="s">
        <v>67</v>
      </c>
      <c r="D5" s="645" t="s">
        <v>50</v>
      </c>
      <c r="E5" s="645"/>
      <c r="F5" s="646" t="s">
        <v>117</v>
      </c>
      <c r="G5" s="646"/>
      <c r="H5" s="646" t="s">
        <v>48</v>
      </c>
      <c r="I5" s="646"/>
      <c r="J5" s="646"/>
      <c r="K5" s="646" t="s">
        <v>111</v>
      </c>
      <c r="L5" s="646"/>
      <c r="M5" s="646"/>
    </row>
    <row r="6" spans="3:14" ht="18.75" thickBot="1">
      <c r="C6" s="431" t="s">
        <v>47</v>
      </c>
      <c r="D6" s="617" t="s">
        <v>118</v>
      </c>
      <c r="E6" s="618"/>
      <c r="F6" s="435" t="s">
        <v>1</v>
      </c>
      <c r="G6" s="436" t="s">
        <v>87</v>
      </c>
      <c r="H6" s="437" t="s">
        <v>1</v>
      </c>
      <c r="I6" s="438" t="s">
        <v>49</v>
      </c>
      <c r="J6" s="439" t="s">
        <v>6</v>
      </c>
      <c r="K6" s="435" t="s">
        <v>1</v>
      </c>
      <c r="L6" s="438" t="s">
        <v>49</v>
      </c>
      <c r="M6" s="440" t="s">
        <v>6</v>
      </c>
      <c r="N6" s="440" t="s">
        <v>18</v>
      </c>
    </row>
    <row r="7" spans="1:14" ht="24" thickTop="1">
      <c r="A7" s="115" t="s">
        <v>356</v>
      </c>
      <c r="C7" s="465"/>
      <c r="D7" s="474"/>
      <c r="E7" s="475"/>
      <c r="G7" s="475"/>
      <c r="J7" s="475"/>
      <c r="N7" s="465"/>
    </row>
    <row r="8" spans="1:14" ht="18">
      <c r="A8" s="447" t="s">
        <v>119</v>
      </c>
      <c r="B8" s="462">
        <v>20</v>
      </c>
      <c r="C8" s="490" t="s">
        <v>115</v>
      </c>
      <c r="D8" s="491" t="s">
        <v>4</v>
      </c>
      <c r="E8" s="492"/>
      <c r="F8" s="491" t="s">
        <v>4</v>
      </c>
      <c r="G8" s="492" t="s">
        <v>4</v>
      </c>
      <c r="H8" s="491" t="s">
        <v>4</v>
      </c>
      <c r="I8" s="449" t="s">
        <v>4</v>
      </c>
      <c r="J8" s="492" t="s">
        <v>4</v>
      </c>
      <c r="K8" s="491" t="s">
        <v>4</v>
      </c>
      <c r="L8" s="449" t="s">
        <v>4</v>
      </c>
      <c r="M8" s="492" t="s">
        <v>4</v>
      </c>
      <c r="N8" s="490" t="s">
        <v>115</v>
      </c>
    </row>
    <row r="9" spans="1:17" ht="18">
      <c r="A9" s="447" t="s">
        <v>151</v>
      </c>
      <c r="B9" s="462">
        <v>8.19</v>
      </c>
      <c r="C9" s="493">
        <f>+'Longs Trous'!C277*(1+'Longs Trous'!$I$281)*(1+1/($B$13-'Longs Trous'!$E$22)*'Longs Trous'!$E$22)</f>
        <v>237.44463373083474</v>
      </c>
      <c r="D9" s="494">
        <f>+('Longs Trous'!D277+'Longs Trous'!M277)*(1+'Longs Trous'!$I$281)*(1+1/($B$13-'Longs Trous'!$E$22)*'Longs Trous'!$E$22)</f>
        <v>75.8830210107893</v>
      </c>
      <c r="E9" s="495"/>
      <c r="F9" s="496">
        <f>+'Longs Trous'!L247*'Longs Trous'!L253*(1+'Longs Trous'!$I$281)*(1+1/($B$13-'Longs Trous'!$E$22)*'Longs Trous'!$E$22)</f>
        <v>719.5434412265759</v>
      </c>
      <c r="G9" s="495">
        <f>+'Longs Trous'!L249*('Longs Trous'!L255+'Longs Trous'!L229)*(1+'Longs Trous'!$I$281)*(1+1/($B$13-'Longs Trous'!$E$22)*'Longs Trous'!$E$22)</f>
        <v>612.560136286201</v>
      </c>
      <c r="H9" s="496">
        <f>+'Longs Trous'!F277*(1+'Longs Trous'!$I$281)*(1+1/($B$13-'Longs Trous'!$E$22)*'Longs Trous'!$E$22)</f>
        <v>107.07593361790094</v>
      </c>
      <c r="I9" s="496">
        <f>+'Longs Trous'!G277*(1+'Longs Trous'!$I$281)*(1+1/($B$13-'Longs Trous'!$E$22)*'Longs Trous'!$E$22)</f>
        <v>10.613555883084812</v>
      </c>
      <c r="J9" s="495">
        <f>+'Longs Trous'!H277*(1+'Longs Trous'!$I$281)*(1+1/($B$13-'Longs Trous'!$E$22)*'Longs Trous'!$E$22)</f>
        <v>187.25996592844973</v>
      </c>
      <c r="K9" s="496">
        <f>+'Longs Trous'!I277*(1+'Longs Trous'!$I$281)*(1+1/($B$13-'Longs Trous'!$E$22)*'Longs Trous'!$E$22)</f>
        <v>975.3310210434718</v>
      </c>
      <c r="L9" s="496">
        <f>+'Longs Trous'!J277*(1+'Longs Trous'!$I$281)*(1+1/($B$13-'Longs Trous'!$E$22)*'Longs Trous'!$E$22)</f>
        <v>9.725098966823133</v>
      </c>
      <c r="M9" s="496">
        <f>+'Longs Trous'!K277*(1+'Longs Trous'!$I$281)*(1+1/($B$13-'Longs Trous'!$E$22)*'Longs Trous'!$E$22)</f>
        <v>1552.1512776831344</v>
      </c>
      <c r="N9" s="469">
        <f>SUM(C9:M9)</f>
        <v>4487.588085377266</v>
      </c>
      <c r="P9" s="18"/>
      <c r="Q9" s="18"/>
    </row>
    <row r="10" spans="1:14" ht="18">
      <c r="A10" s="447" t="s">
        <v>152</v>
      </c>
      <c r="B10" s="463">
        <v>0.5</v>
      </c>
      <c r="C10" s="466" t="s">
        <v>121</v>
      </c>
      <c r="D10" s="592" t="s">
        <v>121</v>
      </c>
      <c r="E10" s="591" t="s">
        <v>121</v>
      </c>
      <c r="F10" s="592" t="s">
        <v>121</v>
      </c>
      <c r="G10" s="591" t="s">
        <v>121</v>
      </c>
      <c r="H10" s="592" t="s">
        <v>121</v>
      </c>
      <c r="I10" s="593" t="s">
        <v>121</v>
      </c>
      <c r="J10" s="591" t="s">
        <v>121</v>
      </c>
      <c r="K10" s="592" t="s">
        <v>121</v>
      </c>
      <c r="L10" s="593" t="s">
        <v>121</v>
      </c>
      <c r="M10" s="591" t="s">
        <v>121</v>
      </c>
      <c r="N10" s="466" t="s">
        <v>121</v>
      </c>
    </row>
    <row r="11" spans="1:14" ht="18">
      <c r="A11" s="456" t="s">
        <v>153</v>
      </c>
      <c r="B11" s="464">
        <f>+(B8+B9)*(1+B10)</f>
        <v>42.285</v>
      </c>
      <c r="C11" s="467">
        <f>+C9*$B$11/'Longs Trous'!$K$290</f>
        <v>0.34850116130563846</v>
      </c>
      <c r="D11" s="615">
        <f>+D9*$B$11/'Longs Trous'!$K$290</f>
        <v>0.11137468356357311</v>
      </c>
      <c r="E11" s="616"/>
      <c r="F11" s="472">
        <f>+F9*$B$11/'Longs Trous'!$K$290</f>
        <v>1.0560850373294959</v>
      </c>
      <c r="G11" s="479">
        <f>+G9*$B$11/'Longs Trous'!$K$290</f>
        <v>0.8990639860375956</v>
      </c>
      <c r="H11" s="472">
        <f>+H9*$B$11/'Longs Trous'!$K$290</f>
        <v>0.15715700383452397</v>
      </c>
      <c r="I11" s="461">
        <f>+I9*$B$11/'Longs Trous'!$K$290</f>
        <v>0.015577680121549172</v>
      </c>
      <c r="J11" s="479">
        <f>+J9*$B$11/'Longs Trous'!$K$290</f>
        <v>0.274844348203285</v>
      </c>
      <c r="K11" s="472">
        <f>+K9*$B$11/'Longs Trous'!$K$290</f>
        <v>1.4315084243023</v>
      </c>
      <c r="L11" s="461">
        <f>+L9*$B$11/'Longs Trous'!$K$290</f>
        <v>0.014273678164452033</v>
      </c>
      <c r="M11" s="481">
        <f>+M9*$B$11/'Longs Trous'!$K$290</f>
        <v>2.2781164362206336</v>
      </c>
      <c r="N11" s="467">
        <f>SUM(C11:M11)</f>
        <v>6.586502439083047</v>
      </c>
    </row>
    <row r="12" spans="1:14" ht="9" customHeight="1">
      <c r="A12" s="76"/>
      <c r="B12" s="449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18">
      <c r="A13" s="456" t="s">
        <v>120</v>
      </c>
      <c r="B13" s="162">
        <f>+'Longs Trous'!C280</f>
        <v>8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5" ht="18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457"/>
      <c r="O14" s="146"/>
    </row>
    <row r="15" spans="1:14" ht="23.25">
      <c r="A15" s="115" t="s">
        <v>89</v>
      </c>
      <c r="C15" s="1"/>
      <c r="D15" s="1"/>
      <c r="E15" s="1"/>
      <c r="F15" s="1"/>
      <c r="G15" s="1"/>
      <c r="H15" s="1"/>
      <c r="I15" s="1"/>
      <c r="J15" s="1"/>
      <c r="K15" s="1"/>
      <c r="N15" s="578" t="s">
        <v>121</v>
      </c>
    </row>
    <row r="16" spans="1:15" ht="18">
      <c r="A16" s="447" t="s">
        <v>352</v>
      </c>
      <c r="B16" s="76"/>
      <c r="C16" s="470"/>
      <c r="D16" s="477"/>
      <c r="E16" s="478"/>
      <c r="F16" s="448"/>
      <c r="G16" s="478"/>
      <c r="H16" s="473"/>
      <c r="I16" s="489"/>
      <c r="J16" s="478"/>
      <c r="K16" s="473"/>
      <c r="L16" s="489"/>
      <c r="M16" s="448"/>
      <c r="N16" s="483">
        <v>1.85</v>
      </c>
      <c r="O16" s="76"/>
    </row>
    <row r="17" spans="1:15" ht="18.75">
      <c r="A17" s="450" t="s">
        <v>416</v>
      </c>
      <c r="B17" s="76"/>
      <c r="C17" s="468"/>
      <c r="D17" s="476"/>
      <c r="E17" s="163"/>
      <c r="F17" s="76"/>
      <c r="G17" s="147"/>
      <c r="H17" s="76"/>
      <c r="I17" s="76"/>
      <c r="J17" s="163"/>
      <c r="K17" s="76"/>
      <c r="L17" s="76"/>
      <c r="M17" s="76"/>
      <c r="N17" s="484"/>
      <c r="O17" s="76"/>
    </row>
    <row r="18" spans="1:15" ht="18">
      <c r="A18" s="76"/>
      <c r="B18" s="76"/>
      <c r="C18" s="468"/>
      <c r="D18" s="476"/>
      <c r="E18" s="163"/>
      <c r="F18" s="76"/>
      <c r="G18" s="163"/>
      <c r="H18" s="76"/>
      <c r="I18" s="76"/>
      <c r="J18" s="163"/>
      <c r="K18" s="76"/>
      <c r="L18" s="76"/>
      <c r="M18" s="76"/>
      <c r="N18" s="484"/>
      <c r="O18" s="76"/>
    </row>
    <row r="19" spans="1:15" ht="18">
      <c r="A19" s="447" t="s">
        <v>154</v>
      </c>
      <c r="B19" s="76"/>
      <c r="C19" s="470"/>
      <c r="D19" s="477"/>
      <c r="E19" s="478"/>
      <c r="F19" s="448"/>
      <c r="G19" s="478"/>
      <c r="H19" s="448"/>
      <c r="I19" s="448"/>
      <c r="J19" s="478"/>
      <c r="K19" s="448"/>
      <c r="L19" s="448"/>
      <c r="M19" s="478"/>
      <c r="N19" s="483">
        <v>2.74</v>
      </c>
      <c r="O19" s="76"/>
    </row>
    <row r="20" spans="1:15" ht="18">
      <c r="A20" s="76"/>
      <c r="B20" s="76"/>
      <c r="C20" s="468"/>
      <c r="D20" s="476"/>
      <c r="E20" s="163"/>
      <c r="F20" s="76"/>
      <c r="G20" s="163"/>
      <c r="H20" s="76"/>
      <c r="I20" s="76"/>
      <c r="J20" s="163"/>
      <c r="K20" s="76"/>
      <c r="L20" s="76"/>
      <c r="M20" s="76"/>
      <c r="N20" s="484"/>
      <c r="O20" s="76"/>
    </row>
    <row r="21" spans="1:15" ht="18">
      <c r="A21" s="60" t="s">
        <v>155</v>
      </c>
      <c r="B21" s="76"/>
      <c r="C21" s="468"/>
      <c r="D21" s="476"/>
      <c r="E21" s="163"/>
      <c r="F21" s="76"/>
      <c r="G21" s="163"/>
      <c r="H21" s="76"/>
      <c r="I21" s="76"/>
      <c r="J21" s="163"/>
      <c r="K21" s="76"/>
      <c r="L21" s="76"/>
      <c r="M21" s="76"/>
      <c r="N21" s="484"/>
      <c r="O21" s="76"/>
    </row>
    <row r="22" spans="1:15" ht="18">
      <c r="A22" s="452" t="s">
        <v>90</v>
      </c>
      <c r="B22" s="76"/>
      <c r="C22" s="470"/>
      <c r="D22" s="622"/>
      <c r="E22" s="623"/>
      <c r="F22" s="448"/>
      <c r="G22" s="478"/>
      <c r="H22" s="448"/>
      <c r="I22" s="448"/>
      <c r="J22" s="478"/>
      <c r="K22" s="448"/>
      <c r="L22" s="448"/>
      <c r="M22" s="448"/>
      <c r="N22" s="483"/>
      <c r="O22" s="76"/>
    </row>
    <row r="23" spans="1:15" ht="18">
      <c r="A23" s="452" t="s">
        <v>156</v>
      </c>
      <c r="B23" s="76"/>
      <c r="C23" s="470"/>
      <c r="D23" s="622"/>
      <c r="E23" s="623"/>
      <c r="F23" s="448"/>
      <c r="G23" s="478"/>
      <c r="H23" s="448"/>
      <c r="I23" s="448"/>
      <c r="J23" s="478"/>
      <c r="K23" s="448"/>
      <c r="L23" s="448"/>
      <c r="M23" s="448"/>
      <c r="N23" s="483"/>
      <c r="O23" s="76"/>
    </row>
    <row r="24" spans="1:15" ht="18">
      <c r="A24" s="452" t="s">
        <v>157</v>
      </c>
      <c r="B24" s="76"/>
      <c r="C24" s="470"/>
      <c r="D24" s="622"/>
      <c r="E24" s="623"/>
      <c r="F24" s="448"/>
      <c r="G24" s="478"/>
      <c r="H24" s="448"/>
      <c r="I24" s="448"/>
      <c r="J24" s="478"/>
      <c r="K24" s="448"/>
      <c r="L24" s="448"/>
      <c r="M24" s="448"/>
      <c r="N24" s="483"/>
      <c r="O24" s="76"/>
    </row>
    <row r="25" spans="1:15" ht="18">
      <c r="A25" s="452" t="s">
        <v>158</v>
      </c>
      <c r="B25" s="76"/>
      <c r="C25" s="470"/>
      <c r="D25" s="622"/>
      <c r="E25" s="623"/>
      <c r="F25" s="448"/>
      <c r="G25" s="478"/>
      <c r="H25" s="448"/>
      <c r="I25" s="448"/>
      <c r="J25" s="478"/>
      <c r="K25" s="448"/>
      <c r="L25" s="448"/>
      <c r="M25" s="448"/>
      <c r="N25" s="483"/>
      <c r="O25" s="76"/>
    </row>
    <row r="26" spans="1:15" ht="18">
      <c r="A26" s="452" t="s">
        <v>91</v>
      </c>
      <c r="B26" s="76"/>
      <c r="C26" s="470"/>
      <c r="D26" s="622"/>
      <c r="E26" s="623"/>
      <c r="F26" s="448"/>
      <c r="G26" s="478"/>
      <c r="H26" s="448"/>
      <c r="I26" s="448"/>
      <c r="J26" s="478"/>
      <c r="K26" s="448"/>
      <c r="L26" s="448"/>
      <c r="M26" s="448"/>
      <c r="N26" s="483"/>
      <c r="O26" s="76"/>
    </row>
    <row r="27" spans="1:15" ht="18">
      <c r="A27" s="452" t="s">
        <v>122</v>
      </c>
      <c r="B27" s="76"/>
      <c r="C27" s="470"/>
      <c r="D27" s="622"/>
      <c r="E27" s="623"/>
      <c r="F27" s="486"/>
      <c r="G27" s="487"/>
      <c r="H27" s="448"/>
      <c r="I27" s="448"/>
      <c r="J27" s="478"/>
      <c r="K27" s="448"/>
      <c r="L27" s="448"/>
      <c r="M27" s="448"/>
      <c r="N27" s="483">
        <v>0.8</v>
      </c>
      <c r="O27" s="76"/>
    </row>
    <row r="28" spans="1:15" ht="18">
      <c r="A28" s="452" t="s">
        <v>123</v>
      </c>
      <c r="B28" s="76"/>
      <c r="C28" s="470"/>
      <c r="D28" s="477"/>
      <c r="E28" s="478"/>
      <c r="F28" s="448"/>
      <c r="G28" s="478"/>
      <c r="H28" s="448"/>
      <c r="I28" s="448"/>
      <c r="J28" s="478"/>
      <c r="K28" s="448"/>
      <c r="L28" s="448"/>
      <c r="M28" s="448"/>
      <c r="N28" s="483">
        <v>0.2</v>
      </c>
      <c r="O28" s="76"/>
    </row>
    <row r="29" spans="1:15" ht="18">
      <c r="A29" s="453" t="s">
        <v>92</v>
      </c>
      <c r="B29" s="76"/>
      <c r="C29" s="468"/>
      <c r="D29" s="622"/>
      <c r="E29" s="623"/>
      <c r="F29" s="473"/>
      <c r="G29" s="480"/>
      <c r="H29" s="448"/>
      <c r="I29" s="448"/>
      <c r="J29" s="478"/>
      <c r="K29" s="448"/>
      <c r="L29" s="448"/>
      <c r="M29" s="448"/>
      <c r="N29" s="485">
        <f>SUM(N22:N28)</f>
        <v>1</v>
      </c>
      <c r="O29" s="76"/>
    </row>
    <row r="30" spans="1:15" ht="18">
      <c r="A30" s="452"/>
      <c r="B30" s="76"/>
      <c r="C30" s="468"/>
      <c r="D30" s="476"/>
      <c r="E30" s="163"/>
      <c r="F30" s="76"/>
      <c r="G30" s="163"/>
      <c r="H30" s="76"/>
      <c r="I30" s="76"/>
      <c r="J30" s="163"/>
      <c r="K30" s="76"/>
      <c r="L30" s="76"/>
      <c r="M30" s="76"/>
      <c r="N30" s="484"/>
      <c r="O30" s="76"/>
    </row>
    <row r="31" spans="1:15" ht="18">
      <c r="A31" s="447" t="s">
        <v>159</v>
      </c>
      <c r="B31" s="76"/>
      <c r="C31" s="471"/>
      <c r="D31" s="622"/>
      <c r="E31" s="623"/>
      <c r="F31" s="473"/>
      <c r="G31" s="480"/>
      <c r="H31" s="473"/>
      <c r="I31" s="160"/>
      <c r="J31" s="480"/>
      <c r="K31" s="473"/>
      <c r="L31" s="160"/>
      <c r="M31" s="458"/>
      <c r="N31" s="483">
        <v>0.2</v>
      </c>
      <c r="O31" s="76"/>
    </row>
    <row r="32" spans="1:15" ht="18">
      <c r="A32" s="447"/>
      <c r="B32" s="76"/>
      <c r="C32" s="468"/>
      <c r="D32" s="476"/>
      <c r="E32" s="163"/>
      <c r="F32" s="76"/>
      <c r="G32" s="163"/>
      <c r="H32" s="76"/>
      <c r="I32" s="76"/>
      <c r="J32" s="163"/>
      <c r="K32" s="76"/>
      <c r="L32" s="76"/>
      <c r="M32" s="76"/>
      <c r="N32" s="484"/>
      <c r="O32" s="76"/>
    </row>
    <row r="33" spans="1:15" ht="18">
      <c r="A33" s="447" t="s">
        <v>160</v>
      </c>
      <c r="B33" s="76"/>
      <c r="C33" s="470"/>
      <c r="D33" s="477"/>
      <c r="E33" s="478"/>
      <c r="F33" s="448"/>
      <c r="G33" s="478"/>
      <c r="H33" s="448"/>
      <c r="I33" s="448"/>
      <c r="J33" s="478"/>
      <c r="K33" s="448"/>
      <c r="L33" s="448"/>
      <c r="M33" s="448"/>
      <c r="N33" s="483">
        <v>0</v>
      </c>
      <c r="O33" s="76"/>
    </row>
    <row r="34" spans="1:15" ht="18">
      <c r="A34" s="447"/>
      <c r="B34" s="76"/>
      <c r="C34" s="468"/>
      <c r="D34" s="476"/>
      <c r="E34" s="163"/>
      <c r="F34" s="76"/>
      <c r="G34" s="163"/>
      <c r="H34" s="76"/>
      <c r="I34" s="76"/>
      <c r="J34" s="163"/>
      <c r="K34" s="76"/>
      <c r="L34" s="76"/>
      <c r="M34" s="76"/>
      <c r="N34" s="484"/>
      <c r="O34" s="76"/>
    </row>
    <row r="35" spans="1:15" ht="18">
      <c r="A35" s="447" t="s">
        <v>161</v>
      </c>
      <c r="B35" s="76"/>
      <c r="C35" s="471"/>
      <c r="D35" s="622"/>
      <c r="E35" s="623"/>
      <c r="F35" s="473"/>
      <c r="G35" s="480"/>
      <c r="H35" s="473"/>
      <c r="I35" s="160"/>
      <c r="J35" s="480"/>
      <c r="K35" s="473"/>
      <c r="L35" s="160"/>
      <c r="M35" s="458"/>
      <c r="N35" s="483">
        <v>0.1</v>
      </c>
      <c r="O35" s="76"/>
    </row>
    <row r="36" spans="1:15" ht="18">
      <c r="A36" s="447"/>
      <c r="B36" s="76"/>
      <c r="C36" s="468"/>
      <c r="D36" s="476"/>
      <c r="E36" s="163"/>
      <c r="F36" s="76"/>
      <c r="G36" s="163"/>
      <c r="H36" s="76"/>
      <c r="I36" s="76"/>
      <c r="J36" s="163"/>
      <c r="K36" s="76"/>
      <c r="L36" s="76"/>
      <c r="M36" s="76"/>
      <c r="N36" s="484"/>
      <c r="O36" s="76"/>
    </row>
    <row r="37" spans="1:15" ht="18">
      <c r="A37" s="447" t="s">
        <v>162</v>
      </c>
      <c r="B37" s="76"/>
      <c r="C37" s="471"/>
      <c r="D37" s="622"/>
      <c r="E37" s="623"/>
      <c r="F37" s="473"/>
      <c r="G37" s="480"/>
      <c r="H37" s="473"/>
      <c r="I37" s="160"/>
      <c r="J37" s="480"/>
      <c r="K37" s="473"/>
      <c r="L37" s="160"/>
      <c r="M37" s="458"/>
      <c r="N37" s="483">
        <v>0</v>
      </c>
      <c r="O37" s="76"/>
    </row>
    <row r="38" spans="1:15" ht="18">
      <c r="A38" s="447"/>
      <c r="B38" s="76"/>
      <c r="C38" s="468"/>
      <c r="D38" s="476"/>
      <c r="E38" s="163"/>
      <c r="F38" s="76"/>
      <c r="G38" s="163"/>
      <c r="H38" s="76"/>
      <c r="I38" s="76"/>
      <c r="J38" s="163"/>
      <c r="K38" s="76"/>
      <c r="L38" s="76"/>
      <c r="M38" s="76"/>
      <c r="N38" s="484"/>
      <c r="O38" s="76"/>
    </row>
    <row r="39" spans="1:15" ht="18">
      <c r="A39" s="447" t="s">
        <v>163</v>
      </c>
      <c r="B39" s="76"/>
      <c r="C39" s="471"/>
      <c r="D39" s="622"/>
      <c r="E39" s="623"/>
      <c r="F39" s="473"/>
      <c r="G39" s="480"/>
      <c r="H39" s="473"/>
      <c r="I39" s="160"/>
      <c r="J39" s="480"/>
      <c r="K39" s="473"/>
      <c r="L39" s="160"/>
      <c r="M39" s="458"/>
      <c r="N39" s="483">
        <v>1</v>
      </c>
      <c r="O39" s="76"/>
    </row>
    <row r="40" spans="1:15" ht="18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459"/>
      <c r="O40" s="146"/>
    </row>
    <row r="41" spans="1:15" ht="23.25">
      <c r="A41" s="115" t="s">
        <v>164</v>
      </c>
      <c r="B41" s="7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459"/>
      <c r="O41" s="146"/>
    </row>
    <row r="42" spans="1:15" ht="18">
      <c r="A42" s="452" t="s">
        <v>93</v>
      </c>
      <c r="B42" s="76"/>
      <c r="C42" s="471"/>
      <c r="D42" s="622"/>
      <c r="E42" s="623"/>
      <c r="F42" s="473"/>
      <c r="G42" s="480"/>
      <c r="H42" s="473"/>
      <c r="I42" s="160"/>
      <c r="J42" s="480"/>
      <c r="K42" s="473"/>
      <c r="L42" s="160"/>
      <c r="M42" s="458"/>
      <c r="N42" s="483">
        <v>0</v>
      </c>
      <c r="O42" s="76"/>
    </row>
    <row r="43" spans="1:15" ht="18">
      <c r="A43" s="452" t="s">
        <v>94</v>
      </c>
      <c r="B43" s="76"/>
      <c r="C43" s="471"/>
      <c r="D43" s="622"/>
      <c r="E43" s="623"/>
      <c r="F43" s="473"/>
      <c r="G43" s="480"/>
      <c r="H43" s="473"/>
      <c r="I43" s="160"/>
      <c r="J43" s="480"/>
      <c r="K43" s="473"/>
      <c r="L43" s="160"/>
      <c r="M43" s="458"/>
      <c r="N43" s="483">
        <v>0</v>
      </c>
      <c r="O43" s="76"/>
    </row>
    <row r="44" spans="1:15" ht="18">
      <c r="A44" s="452" t="s">
        <v>165</v>
      </c>
      <c r="B44" s="76"/>
      <c r="C44" s="471"/>
      <c r="D44" s="622"/>
      <c r="E44" s="623"/>
      <c r="F44" s="473"/>
      <c r="G44" s="480"/>
      <c r="H44" s="473"/>
      <c r="I44" s="160"/>
      <c r="J44" s="480"/>
      <c r="K44" s="473"/>
      <c r="L44" s="160"/>
      <c r="M44" s="458"/>
      <c r="N44" s="483">
        <v>0</v>
      </c>
      <c r="O44" s="76"/>
    </row>
    <row r="45" spans="1:15" ht="18.75" thickBo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459"/>
      <c r="O45" s="146"/>
    </row>
    <row r="46" spans="1:15" ht="21" thickBot="1">
      <c r="A46" s="21" t="s">
        <v>124</v>
      </c>
      <c r="B46" s="76"/>
      <c r="C46" s="467">
        <f>SUM(C42:C45)+SUM(C31:C39)+C29+C19+C16+C11</f>
        <v>0.34850116130563846</v>
      </c>
      <c r="D46" s="615">
        <f aca="true" t="shared" si="0" ref="D46:M46">SUM(D42:D45)+SUM(D31:D39)+D29+D19+D16+D11</f>
        <v>0.11137468356357311</v>
      </c>
      <c r="E46" s="616">
        <f t="shared" si="0"/>
        <v>0</v>
      </c>
      <c r="F46" s="472">
        <f t="shared" si="0"/>
        <v>1.0560850373294959</v>
      </c>
      <c r="G46" s="479">
        <f t="shared" si="0"/>
        <v>0.8990639860375956</v>
      </c>
      <c r="H46" s="472">
        <f t="shared" si="0"/>
        <v>0.15715700383452397</v>
      </c>
      <c r="I46" s="461">
        <f>SUM(I42:I45)+SUM(I31:I39)+I29+I19+I11</f>
        <v>0.015577680121549172</v>
      </c>
      <c r="J46" s="479">
        <f t="shared" si="0"/>
        <v>0.274844348203285</v>
      </c>
      <c r="K46" s="472">
        <f t="shared" si="0"/>
        <v>1.4315084243023</v>
      </c>
      <c r="L46" s="461">
        <f>SUM(L42:L45)+SUM(L31:L39)+L29+L19+L11</f>
        <v>0.014273678164452033</v>
      </c>
      <c r="M46" s="481">
        <f t="shared" si="0"/>
        <v>2.2781164362206336</v>
      </c>
      <c r="N46" s="455">
        <f>SUM(N42:N45)+SUM(N31:N39)+N29+N19+N16+N11</f>
        <v>13.476502439083047</v>
      </c>
      <c r="O46" s="76"/>
    </row>
    <row r="47" spans="1:15" ht="18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459"/>
      <c r="O47" s="146"/>
    </row>
    <row r="48" spans="1:15" ht="18">
      <c r="A48" s="76"/>
      <c r="B48" s="76"/>
      <c r="C48" s="76"/>
      <c r="D48" s="76"/>
      <c r="E48" s="451"/>
      <c r="F48" s="454">
        <f>F11*'Longs Trous'!$E$301/'Longs Trous'!I300</f>
        <v>4.448230177231836</v>
      </c>
      <c r="G48" s="579" t="s">
        <v>353</v>
      </c>
      <c r="H48" s="454">
        <f>H11*'Longs Trous'!$E$301/('Longs Trous'!C298+'Longs Trous'!D298)</f>
        <v>6.288480351434641</v>
      </c>
      <c r="I48" s="579" t="s">
        <v>389</v>
      </c>
      <c r="J48" s="451"/>
      <c r="K48" s="454">
        <f>K11*'Longs Trous'!$E$301/'Longs Trous'!C299</f>
        <v>5.0245945693010725</v>
      </c>
      <c r="L48" s="579" t="s">
        <v>354</v>
      </c>
      <c r="M48" s="488"/>
      <c r="O48" s="76"/>
    </row>
    <row r="50" spans="10:11" ht="18">
      <c r="J50" s="454">
        <f>+(H11+K11+L11+I11)*'Longs Trous'!E301/('Longs Trous'!C298+'Longs Trous'!D298+'Longs Trous'!C299)</f>
        <v>5.222849249348623</v>
      </c>
      <c r="K50" s="579" t="s">
        <v>390</v>
      </c>
    </row>
    <row r="55" ht="18">
      <c r="H55" s="460" t="s">
        <v>355</v>
      </c>
    </row>
  </sheetData>
  <mergeCells count="21">
    <mergeCell ref="K5:M5"/>
    <mergeCell ref="D11:E11"/>
    <mergeCell ref="D6:E6"/>
    <mergeCell ref="D5:E5"/>
    <mergeCell ref="F5:G5"/>
    <mergeCell ref="H5:J5"/>
    <mergeCell ref="D22:E22"/>
    <mergeCell ref="D23:E23"/>
    <mergeCell ref="D29:E29"/>
    <mergeCell ref="D27:E27"/>
    <mergeCell ref="D24:E24"/>
    <mergeCell ref="D25:E25"/>
    <mergeCell ref="D26:E26"/>
    <mergeCell ref="D31:E31"/>
    <mergeCell ref="D35:E35"/>
    <mergeCell ref="D44:E44"/>
    <mergeCell ref="D46:E46"/>
    <mergeCell ref="D37:E37"/>
    <mergeCell ref="D39:E39"/>
    <mergeCell ref="D42:E42"/>
    <mergeCell ref="D43:E43"/>
  </mergeCells>
  <printOptions/>
  <pageMargins left="0.75" right="0.75" top="1" bottom="1" header="0.4921259845" footer="0.4921259845"/>
  <pageSetup fitToHeight="1" fitToWidth="1" horizontalDpi="600" verticalDpi="600" orientation="landscape" scale="47" r:id="rId2"/>
  <headerFooter alignWithMargins="0">
    <oddFooter>&amp;LFichier : &amp;F
Onglet : &amp;A
Page &amp;P de &amp;N&amp;CMine-laboratoire
Val-d'Or&amp;R&amp;D
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6"/>
  <sheetViews>
    <sheetView zoomScale="75" zoomScaleNormal="75" workbookViewId="0" topLeftCell="D1">
      <selection activeCell="I20" sqref="I20"/>
    </sheetView>
  </sheetViews>
  <sheetFormatPr defaultColWidth="9.140625" defaultRowHeight="12.75"/>
  <cols>
    <col min="1" max="1" width="25.57421875" style="0" customWidth="1"/>
    <col min="2" max="2" width="18.00390625" style="0" customWidth="1"/>
    <col min="3" max="3" width="18.7109375" style="0" customWidth="1"/>
    <col min="4" max="4" width="13.140625" style="0" customWidth="1"/>
    <col min="5" max="5" width="14.7109375" style="0" customWidth="1"/>
    <col min="6" max="6" width="17.28125" style="0" customWidth="1"/>
    <col min="7" max="7" width="16.28125" style="0" customWidth="1"/>
    <col min="8" max="8" width="16.00390625" style="0" customWidth="1"/>
    <col min="9" max="9" width="13.8515625" style="0" customWidth="1"/>
    <col min="10" max="10" width="15.140625" style="0" customWidth="1"/>
    <col min="11" max="11" width="20.7109375" style="0" customWidth="1"/>
    <col min="12" max="12" width="16.57421875" style="0" customWidth="1"/>
    <col min="13" max="13" width="13.28125" style="0" customWidth="1"/>
    <col min="14" max="16384" width="11.421875" style="0" customWidth="1"/>
  </cols>
  <sheetData>
    <row r="2" spans="1:10" ht="36.75">
      <c r="A2" s="5" t="s">
        <v>111</v>
      </c>
      <c r="J2" s="5"/>
    </row>
    <row r="3" spans="1:11" ht="36.75">
      <c r="A3" s="5" t="s">
        <v>147</v>
      </c>
      <c r="B3" s="5"/>
      <c r="K3" s="22" t="s">
        <v>434</v>
      </c>
    </row>
    <row r="4" spans="1:2" ht="17.25" customHeight="1" thickBot="1">
      <c r="A4" s="5"/>
      <c r="B4" s="5"/>
    </row>
    <row r="5" spans="1:13" ht="13.5" thickTop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" ht="19.5" customHeight="1">
      <c r="A8" s="27" t="s">
        <v>96</v>
      </c>
      <c r="B8" s="28"/>
    </row>
    <row r="9" spans="1:2" ht="15" customHeight="1" thickBot="1">
      <c r="A9" s="28"/>
      <c r="B9" s="28"/>
    </row>
    <row r="10" spans="1:11" ht="15" customHeight="1">
      <c r="A10" s="28"/>
      <c r="B10" s="28"/>
      <c r="C10" s="766" t="s">
        <v>171</v>
      </c>
      <c r="D10" s="768" t="s">
        <v>169</v>
      </c>
      <c r="E10" s="770" t="s">
        <v>170</v>
      </c>
      <c r="H10" s="772" t="s">
        <v>8</v>
      </c>
      <c r="I10" s="773"/>
      <c r="J10" s="773"/>
      <c r="K10" s="774"/>
    </row>
    <row r="11" spans="1:11" ht="15" customHeight="1" thickBot="1">
      <c r="A11" s="28"/>
      <c r="B11" s="28"/>
      <c r="C11" s="767"/>
      <c r="D11" s="769"/>
      <c r="E11" s="771"/>
      <c r="H11" s="775"/>
      <c r="I11" s="776"/>
      <c r="J11" s="776"/>
      <c r="K11" s="777"/>
    </row>
    <row r="12" spans="1:11" ht="15" customHeight="1">
      <c r="A12" s="29" t="s">
        <v>100</v>
      </c>
      <c r="B12" s="29"/>
      <c r="C12" s="309">
        <v>2</v>
      </c>
      <c r="D12" s="309">
        <v>8</v>
      </c>
      <c r="E12" s="30">
        <f>+D12*C12</f>
        <v>16</v>
      </c>
      <c r="H12" s="31"/>
      <c r="I12" s="32"/>
      <c r="J12" s="32"/>
      <c r="K12" s="33"/>
    </row>
    <row r="13" spans="1:11" ht="15" customHeight="1">
      <c r="A13" s="29" t="s">
        <v>166</v>
      </c>
      <c r="B13" s="29"/>
      <c r="C13" s="309">
        <v>2</v>
      </c>
      <c r="D13" s="309">
        <v>5</v>
      </c>
      <c r="E13" s="30">
        <f>+D13*C13</f>
        <v>10</v>
      </c>
      <c r="H13" s="34"/>
      <c r="I13" s="35"/>
      <c r="J13" s="35"/>
      <c r="K13" s="36"/>
    </row>
    <row r="14" spans="1:11" ht="15" customHeight="1">
      <c r="A14" s="29" t="s">
        <v>167</v>
      </c>
      <c r="B14" s="29"/>
      <c r="C14" s="309"/>
      <c r="D14" s="309"/>
      <c r="E14" s="30">
        <f aca="true" t="shared" si="0" ref="E14:E20">+D14*C14</f>
        <v>0</v>
      </c>
      <c r="F14" s="8"/>
      <c r="H14" s="34"/>
      <c r="I14" s="35"/>
      <c r="J14" s="35"/>
      <c r="K14" s="36"/>
    </row>
    <row r="15" spans="1:11" ht="15" customHeight="1">
      <c r="A15" s="29" t="s">
        <v>101</v>
      </c>
      <c r="B15" s="29"/>
      <c r="C15" s="309">
        <v>4</v>
      </c>
      <c r="D15" s="309">
        <v>8</v>
      </c>
      <c r="E15" s="30">
        <f t="shared" si="0"/>
        <v>32</v>
      </c>
      <c r="H15" s="34" t="s">
        <v>215</v>
      </c>
      <c r="I15" s="35"/>
      <c r="J15" s="35"/>
      <c r="K15" s="36"/>
    </row>
    <row r="16" spans="1:11" ht="15" customHeight="1">
      <c r="A16" s="29" t="s">
        <v>102</v>
      </c>
      <c r="B16" s="29"/>
      <c r="C16" s="309">
        <v>1</v>
      </c>
      <c r="D16" s="309">
        <v>15</v>
      </c>
      <c r="E16" s="30">
        <f t="shared" si="0"/>
        <v>15</v>
      </c>
      <c r="H16" s="34" t="s">
        <v>172</v>
      </c>
      <c r="I16" s="35"/>
      <c r="J16" s="35"/>
      <c r="K16" s="36"/>
    </row>
    <row r="17" spans="1:11" ht="15" customHeight="1">
      <c r="A17" s="29" t="s">
        <v>103</v>
      </c>
      <c r="B17" s="29"/>
      <c r="C17" s="309">
        <v>1</v>
      </c>
      <c r="D17" s="309">
        <v>10</v>
      </c>
      <c r="E17" s="30">
        <f t="shared" si="0"/>
        <v>10</v>
      </c>
      <c r="H17" s="34" t="s">
        <v>435</v>
      </c>
      <c r="I17" s="35"/>
      <c r="J17" s="35"/>
      <c r="K17" s="36"/>
    </row>
    <row r="18" spans="1:11" ht="15" customHeight="1">
      <c r="A18" s="29" t="s">
        <v>168</v>
      </c>
      <c r="B18" s="29"/>
      <c r="C18" s="309">
        <v>1</v>
      </c>
      <c r="D18" s="309">
        <v>15</v>
      </c>
      <c r="E18" s="30">
        <f t="shared" si="0"/>
        <v>15</v>
      </c>
      <c r="H18" s="34" t="s">
        <v>173</v>
      </c>
      <c r="I18" s="35"/>
      <c r="J18" s="35"/>
      <c r="K18" s="36"/>
    </row>
    <row r="19" spans="1:11" ht="15" customHeight="1">
      <c r="A19" s="29" t="s">
        <v>0</v>
      </c>
      <c r="B19" s="29"/>
      <c r="C19" s="309">
        <v>1</v>
      </c>
      <c r="D19" s="309">
        <v>30</v>
      </c>
      <c r="E19" s="30">
        <f t="shared" si="0"/>
        <v>30</v>
      </c>
      <c r="H19" s="34"/>
      <c r="I19" s="35"/>
      <c r="J19" s="35"/>
      <c r="K19" s="36"/>
    </row>
    <row r="20" spans="1:11" ht="15" customHeight="1" thickBot="1">
      <c r="A20" s="500"/>
      <c r="B20" s="308"/>
      <c r="C20" s="309"/>
      <c r="D20" s="309"/>
      <c r="E20" s="37">
        <f t="shared" si="0"/>
        <v>0</v>
      </c>
      <c r="H20" s="34"/>
      <c r="I20" s="35"/>
      <c r="J20" s="35"/>
      <c r="K20" s="36"/>
    </row>
    <row r="21" spans="1:11" ht="15" customHeight="1" thickBot="1">
      <c r="A21" s="38"/>
      <c r="B21" s="38"/>
      <c r="C21" s="38"/>
      <c r="D21" s="38"/>
      <c r="E21" s="39">
        <f>SUM(E12:E20)</f>
        <v>128</v>
      </c>
      <c r="F21" s="22" t="s">
        <v>99</v>
      </c>
      <c r="H21" s="40"/>
      <c r="I21" s="41"/>
      <c r="J21" s="41"/>
      <c r="K21" s="42"/>
    </row>
    <row r="22" spans="1:6" ht="15" customHeight="1">
      <c r="A22" s="38"/>
      <c r="B22" s="38"/>
      <c r="C22" s="38"/>
      <c r="D22" s="38"/>
      <c r="E22" s="43">
        <f>ROUND(+E21/60,2)</f>
        <v>2.13</v>
      </c>
      <c r="F22" s="22" t="s">
        <v>5</v>
      </c>
    </row>
    <row r="23" spans="1:5" ht="14.25">
      <c r="A23" s="38"/>
      <c r="B23" s="38"/>
      <c r="C23" s="38"/>
      <c r="D23" s="38"/>
      <c r="E23" s="38"/>
    </row>
    <row r="24" spans="1:13" ht="15" thickBot="1">
      <c r="A24" s="44"/>
      <c r="B24" s="44"/>
      <c r="C24" s="44"/>
      <c r="D24" s="44"/>
      <c r="E24" s="44"/>
      <c r="F24" s="13"/>
      <c r="G24" s="13"/>
      <c r="H24" s="13"/>
      <c r="I24" s="13"/>
      <c r="J24" s="13"/>
      <c r="K24" s="13"/>
      <c r="L24" s="13"/>
      <c r="M24" s="13"/>
    </row>
    <row r="25" spans="1:4" ht="12.75">
      <c r="A25" s="1"/>
      <c r="B25" s="1"/>
      <c r="C25" s="1"/>
      <c r="D25" s="1"/>
    </row>
    <row r="26" spans="1:5" ht="23.25">
      <c r="A26" s="27" t="s">
        <v>174</v>
      </c>
      <c r="B26" s="28"/>
      <c r="C26" s="1"/>
      <c r="D26" s="1"/>
      <c r="E26" s="1"/>
    </row>
    <row r="27" spans="1:5" ht="21" thickBot="1">
      <c r="A27" s="28"/>
      <c r="B27" s="28"/>
      <c r="C27" s="1"/>
      <c r="D27" s="1"/>
      <c r="E27" s="1"/>
    </row>
    <row r="28" spans="1:12" ht="22.5" customHeight="1">
      <c r="A28" s="48" t="s">
        <v>40</v>
      </c>
      <c r="C28" s="766" t="s">
        <v>171</v>
      </c>
      <c r="D28" s="768" t="s">
        <v>169</v>
      </c>
      <c r="E28" s="770" t="s">
        <v>170</v>
      </c>
      <c r="H28" s="28"/>
      <c r="I28" s="28"/>
      <c r="J28" s="766" t="s">
        <v>171</v>
      </c>
      <c r="K28" s="768" t="s">
        <v>169</v>
      </c>
      <c r="L28" s="770" t="s">
        <v>170</v>
      </c>
    </row>
    <row r="29" spans="1:12" ht="18.75" thickBot="1">
      <c r="A29" s="48" t="s">
        <v>406</v>
      </c>
      <c r="C29" s="767"/>
      <c r="D29" s="769"/>
      <c r="E29" s="771"/>
      <c r="G29" s="45" t="s">
        <v>175</v>
      </c>
      <c r="H29" s="46"/>
      <c r="J29" s="767"/>
      <c r="K29" s="769"/>
      <c r="L29" s="771"/>
    </row>
    <row r="30" spans="1:12" ht="14.25">
      <c r="A30" s="29" t="s">
        <v>177</v>
      </c>
      <c r="B30" s="22"/>
      <c r="C30" s="309">
        <v>1</v>
      </c>
      <c r="D30" s="309">
        <v>30</v>
      </c>
      <c r="E30" s="30">
        <f>+D30*C30</f>
        <v>30</v>
      </c>
      <c r="F30" s="22"/>
      <c r="G30" s="29" t="s">
        <v>177</v>
      </c>
      <c r="H30" s="29"/>
      <c r="J30" s="309">
        <v>1</v>
      </c>
      <c r="K30" s="309">
        <v>6</v>
      </c>
      <c r="L30" s="30">
        <f aca="true" t="shared" si="1" ref="L30:L39">+K30*J30</f>
        <v>6</v>
      </c>
    </row>
    <row r="31" spans="1:12" ht="14.25">
      <c r="A31" s="29" t="s">
        <v>98</v>
      </c>
      <c r="B31" s="22"/>
      <c r="C31" s="309">
        <v>1</v>
      </c>
      <c r="D31" s="309">
        <v>30</v>
      </c>
      <c r="E31" s="30">
        <f>+D31*C31</f>
        <v>30</v>
      </c>
      <c r="F31" s="22"/>
      <c r="G31" s="29" t="s">
        <v>178</v>
      </c>
      <c r="H31" s="29"/>
      <c r="J31" s="309">
        <v>1</v>
      </c>
      <c r="K31" s="309">
        <v>60</v>
      </c>
      <c r="L31" s="30">
        <f t="shared" si="1"/>
        <v>60</v>
      </c>
    </row>
    <row r="32" spans="1:12" ht="14.25">
      <c r="A32" s="313"/>
      <c r="B32" s="314"/>
      <c r="C32" s="309"/>
      <c r="D32" s="309"/>
      <c r="E32" s="30">
        <f>+D32*C32</f>
        <v>0</v>
      </c>
      <c r="F32" s="22"/>
      <c r="G32" s="29" t="s">
        <v>179</v>
      </c>
      <c r="H32" s="29"/>
      <c r="J32" s="309">
        <v>1</v>
      </c>
      <c r="K32" s="309">
        <v>20</v>
      </c>
      <c r="L32" s="30">
        <f t="shared" si="1"/>
        <v>20</v>
      </c>
    </row>
    <row r="33" spans="1:18" ht="15" thickBot="1">
      <c r="A33" s="313"/>
      <c r="B33" s="314"/>
      <c r="C33" s="309"/>
      <c r="D33" s="309"/>
      <c r="E33" s="30">
        <f>+D33*C33</f>
        <v>0</v>
      </c>
      <c r="F33" s="22"/>
      <c r="G33" s="29" t="s">
        <v>116</v>
      </c>
      <c r="H33" s="29"/>
      <c r="J33" s="309">
        <v>1</v>
      </c>
      <c r="K33" s="309">
        <v>15</v>
      </c>
      <c r="L33" s="30">
        <f t="shared" si="1"/>
        <v>15</v>
      </c>
      <c r="Q33" s="29"/>
      <c r="R33" s="29"/>
    </row>
    <row r="34" spans="1:18" ht="15" thickBot="1">
      <c r="A34" s="49"/>
      <c r="B34" s="22"/>
      <c r="C34" s="38"/>
      <c r="D34" s="47" t="s">
        <v>188</v>
      </c>
      <c r="E34" s="39">
        <f>SUM(E30:E33)</f>
        <v>60</v>
      </c>
      <c r="F34" s="22"/>
      <c r="G34" s="29" t="s">
        <v>357</v>
      </c>
      <c r="H34" s="29"/>
      <c r="J34" s="309">
        <v>1</v>
      </c>
      <c r="K34" s="309">
        <v>5</v>
      </c>
      <c r="L34" s="30">
        <f t="shared" si="1"/>
        <v>5</v>
      </c>
      <c r="Q34" s="29"/>
      <c r="R34" s="29"/>
    </row>
    <row r="35" spans="1:18" ht="14.25">
      <c r="A35" s="22"/>
      <c r="B35" s="22"/>
      <c r="C35" s="22"/>
      <c r="D35" s="47" t="s">
        <v>180</v>
      </c>
      <c r="E35" s="43">
        <f>+E34/60</f>
        <v>1</v>
      </c>
      <c r="F35" s="22"/>
      <c r="G35" s="29" t="s">
        <v>97</v>
      </c>
      <c r="H35" s="29"/>
      <c r="J35" s="309">
        <v>1</v>
      </c>
      <c r="K35" s="309">
        <v>8</v>
      </c>
      <c r="L35" s="30">
        <f t="shared" si="1"/>
        <v>8</v>
      </c>
      <c r="Q35" s="29"/>
      <c r="R35" s="29"/>
    </row>
    <row r="36" spans="6:18" ht="15" thickBot="1">
      <c r="F36" s="22"/>
      <c r="G36" s="29" t="s">
        <v>359</v>
      </c>
      <c r="H36" s="29"/>
      <c r="J36" s="309">
        <v>1</v>
      </c>
      <c r="K36" s="309">
        <v>15</v>
      </c>
      <c r="L36" s="30">
        <f t="shared" si="1"/>
        <v>15</v>
      </c>
      <c r="Q36" s="29"/>
      <c r="R36" s="29"/>
    </row>
    <row r="37" spans="1:18" ht="18" customHeight="1">
      <c r="A37" s="48" t="s">
        <v>187</v>
      </c>
      <c r="C37" s="766" t="s">
        <v>171</v>
      </c>
      <c r="D37" s="768" t="s">
        <v>169</v>
      </c>
      <c r="E37" s="770" t="s">
        <v>170</v>
      </c>
      <c r="F37" s="22"/>
      <c r="G37" s="29" t="s">
        <v>358</v>
      </c>
      <c r="H37" s="29"/>
      <c r="J37" s="309">
        <v>1</v>
      </c>
      <c r="K37" s="309">
        <v>5</v>
      </c>
      <c r="L37" s="30">
        <f t="shared" si="1"/>
        <v>5</v>
      </c>
      <c r="Q37" s="29"/>
      <c r="R37" s="29"/>
    </row>
    <row r="38" spans="1:18" ht="18" customHeight="1" thickBot="1">
      <c r="A38" s="48" t="s">
        <v>431</v>
      </c>
      <c r="C38" s="767"/>
      <c r="D38" s="769"/>
      <c r="E38" s="771"/>
      <c r="F38" s="22"/>
      <c r="G38" s="29" t="s">
        <v>176</v>
      </c>
      <c r="H38" s="29"/>
      <c r="J38" s="309">
        <v>1</v>
      </c>
      <c r="K38" s="309">
        <v>15</v>
      </c>
      <c r="L38" s="30">
        <f t="shared" si="1"/>
        <v>15</v>
      </c>
      <c r="Q38" s="29"/>
      <c r="R38" s="29"/>
    </row>
    <row r="39" spans="1:18" ht="15.75" customHeight="1">
      <c r="A39" s="29" t="s">
        <v>177</v>
      </c>
      <c r="B39" s="22"/>
      <c r="C39" s="309">
        <v>1</v>
      </c>
      <c r="D39" s="309">
        <v>60</v>
      </c>
      <c r="E39" s="30">
        <f>+D39*C39</f>
        <v>60</v>
      </c>
      <c r="F39" s="22"/>
      <c r="G39" s="313"/>
      <c r="H39" s="313"/>
      <c r="I39" s="313"/>
      <c r="J39" s="309"/>
      <c r="K39" s="309"/>
      <c r="L39" s="30">
        <f t="shared" si="1"/>
        <v>0</v>
      </c>
      <c r="Q39" s="29"/>
      <c r="R39" s="29"/>
    </row>
    <row r="40" spans="1:18" ht="14.25">
      <c r="A40" s="29" t="s">
        <v>417</v>
      </c>
      <c r="B40" s="22"/>
      <c r="C40" s="309">
        <v>1</v>
      </c>
      <c r="D40" s="309">
        <v>40</v>
      </c>
      <c r="E40" s="30">
        <f>+D40*C40</f>
        <v>40</v>
      </c>
      <c r="F40" s="22"/>
      <c r="G40" s="313"/>
      <c r="H40" s="313"/>
      <c r="I40" s="313"/>
      <c r="J40" s="309"/>
      <c r="K40" s="309"/>
      <c r="L40" s="30">
        <f>+K40*J40</f>
        <v>0</v>
      </c>
      <c r="Q40" s="29"/>
      <c r="R40" s="29"/>
    </row>
    <row r="41" spans="1:18" ht="14.25">
      <c r="A41" s="29" t="s">
        <v>98</v>
      </c>
      <c r="B41" s="22"/>
      <c r="C41" s="309">
        <v>1</v>
      </c>
      <c r="D41" s="309">
        <v>30</v>
      </c>
      <c r="E41" s="30">
        <f>+D41*C41</f>
        <v>30</v>
      </c>
      <c r="G41" s="313"/>
      <c r="H41" s="313"/>
      <c r="I41" s="313"/>
      <c r="J41" s="309"/>
      <c r="K41" s="309"/>
      <c r="L41" s="30">
        <f>+K41</f>
        <v>0</v>
      </c>
      <c r="Q41" s="29"/>
      <c r="R41" s="29"/>
    </row>
    <row r="42" spans="1:12" ht="14.25">
      <c r="A42" s="313"/>
      <c r="B42" s="314"/>
      <c r="C42" s="309"/>
      <c r="D42" s="309"/>
      <c r="E42" s="30">
        <f>+D42*C42</f>
        <v>0</v>
      </c>
      <c r="F42" s="22"/>
      <c r="G42" s="313"/>
      <c r="H42" s="313"/>
      <c r="I42" s="313"/>
      <c r="J42" s="309"/>
      <c r="K42" s="309"/>
      <c r="L42" s="30">
        <f>+K42*J42</f>
        <v>0</v>
      </c>
    </row>
    <row r="43" spans="1:12" ht="15" thickBot="1">
      <c r="A43" s="313"/>
      <c r="B43" s="314"/>
      <c r="C43" s="309"/>
      <c r="D43" s="309"/>
      <c r="E43" s="30">
        <f>+D43*C43</f>
        <v>0</v>
      </c>
      <c r="F43" s="22"/>
      <c r="G43" s="313"/>
      <c r="H43" s="313"/>
      <c r="I43" s="313"/>
      <c r="J43" s="309"/>
      <c r="K43" s="309"/>
      <c r="L43" s="30">
        <f>+K43*J43</f>
        <v>0</v>
      </c>
    </row>
    <row r="44" spans="1:12" ht="15" thickBot="1">
      <c r="A44" s="49"/>
      <c r="B44" s="22"/>
      <c r="C44" s="38"/>
      <c r="D44" s="47" t="s">
        <v>188</v>
      </c>
      <c r="E44" s="39">
        <f>SUM(E39:E43)</f>
        <v>130</v>
      </c>
      <c r="H44" s="49"/>
      <c r="I44" s="49"/>
      <c r="J44" s="38"/>
      <c r="K44" s="47" t="s">
        <v>189</v>
      </c>
      <c r="L44" s="39">
        <f>SUM(L30:L43)</f>
        <v>149</v>
      </c>
    </row>
    <row r="45" spans="1:12" ht="14.25">
      <c r="A45" s="22"/>
      <c r="B45" s="22"/>
      <c r="C45" s="22"/>
      <c r="D45" s="47" t="s">
        <v>180</v>
      </c>
      <c r="E45" s="43">
        <f>ROUND(+E44/60,2)</f>
        <v>2.17</v>
      </c>
      <c r="I45" s="49"/>
      <c r="J45" s="38"/>
      <c r="K45" s="47" t="s">
        <v>125</v>
      </c>
      <c r="L45" s="43">
        <f>ROUND(+L44/60,2)</f>
        <v>2.48</v>
      </c>
    </row>
    <row r="47" spans="7:10" ht="14.25">
      <c r="G47" s="22"/>
      <c r="H47" s="22"/>
      <c r="I47" s="22"/>
      <c r="J47" s="47"/>
    </row>
    <row r="48" spans="1:10" ht="23.25">
      <c r="A48" s="27" t="s">
        <v>39</v>
      </c>
      <c r="G48" s="22"/>
      <c r="H48" s="22"/>
      <c r="I48" s="22"/>
      <c r="J48" s="47"/>
    </row>
    <row r="50" ht="13.5" thickBot="1"/>
    <row r="51" spans="1:11" ht="20.25" customHeight="1">
      <c r="A51" s="508" t="s">
        <v>56</v>
      </c>
      <c r="B51" s="28"/>
      <c r="C51" s="766" t="s">
        <v>171</v>
      </c>
      <c r="D51" s="768" t="s">
        <v>169</v>
      </c>
      <c r="E51" s="770" t="s">
        <v>170</v>
      </c>
      <c r="G51" s="48" t="s">
        <v>9</v>
      </c>
      <c r="I51" s="766" t="s">
        <v>348</v>
      </c>
      <c r="J51" s="768" t="s">
        <v>169</v>
      </c>
      <c r="K51" s="770" t="s">
        <v>408</v>
      </c>
    </row>
    <row r="52" spans="1:11" ht="18.75" thickBot="1">
      <c r="A52" s="508" t="s">
        <v>126</v>
      </c>
      <c r="B52" s="46"/>
      <c r="C52" s="767"/>
      <c r="D52" s="769"/>
      <c r="E52" s="771"/>
      <c r="G52" s="48" t="s">
        <v>194</v>
      </c>
      <c r="I52" s="767"/>
      <c r="J52" s="769"/>
      <c r="K52" s="771"/>
    </row>
    <row r="53" spans="1:12" ht="12.75" customHeight="1">
      <c r="A53" s="507" t="s">
        <v>104</v>
      </c>
      <c r="B53" s="29"/>
      <c r="C53" s="309">
        <v>3</v>
      </c>
      <c r="D53" s="309">
        <v>80</v>
      </c>
      <c r="E53" s="30">
        <f aca="true" t="shared" si="2" ref="E53:E61">+D53*C53</f>
        <v>240</v>
      </c>
      <c r="G53" s="737" t="s">
        <v>183</v>
      </c>
      <c r="H53" s="738"/>
      <c r="I53" s="310">
        <v>1</v>
      </c>
      <c r="J53" s="309">
        <v>15</v>
      </c>
      <c r="K53" s="30">
        <f>+J53*I53</f>
        <v>15</v>
      </c>
      <c r="L53" s="22"/>
    </row>
    <row r="54" spans="1:12" ht="14.25">
      <c r="A54" s="507" t="s">
        <v>190</v>
      </c>
      <c r="B54" s="29"/>
      <c r="C54" s="309">
        <v>3</v>
      </c>
      <c r="D54" s="309">
        <v>60</v>
      </c>
      <c r="E54" s="30">
        <f t="shared" si="2"/>
        <v>180</v>
      </c>
      <c r="G54" s="737" t="s">
        <v>182</v>
      </c>
      <c r="H54" s="738"/>
      <c r="I54" s="310">
        <v>3</v>
      </c>
      <c r="J54" s="309">
        <v>10</v>
      </c>
      <c r="K54" s="30">
        <f>+J54*I54</f>
        <v>30</v>
      </c>
      <c r="L54" s="22"/>
    </row>
    <row r="55" spans="1:12" ht="14.25">
      <c r="A55" s="507" t="s">
        <v>105</v>
      </c>
      <c r="B55" s="29"/>
      <c r="C55" s="309">
        <v>3</v>
      </c>
      <c r="D55" s="309">
        <v>20</v>
      </c>
      <c r="E55" s="30">
        <f t="shared" si="2"/>
        <v>60</v>
      </c>
      <c r="G55" s="737" t="s">
        <v>127</v>
      </c>
      <c r="H55" s="738"/>
      <c r="I55" s="311">
        <v>4</v>
      </c>
      <c r="J55" s="309">
        <v>20</v>
      </c>
      <c r="K55" s="30">
        <f>+J55*I55</f>
        <v>80</v>
      </c>
      <c r="L55" s="22"/>
    </row>
    <row r="56" spans="1:12" ht="14.25">
      <c r="A56" s="507" t="s">
        <v>193</v>
      </c>
      <c r="B56" s="29"/>
      <c r="C56" s="309">
        <v>3</v>
      </c>
      <c r="D56" s="309">
        <v>60</v>
      </c>
      <c r="E56" s="30">
        <f t="shared" si="2"/>
        <v>180</v>
      </c>
      <c r="G56" s="812" t="s">
        <v>195</v>
      </c>
      <c r="H56" s="813"/>
      <c r="I56" s="309">
        <v>0</v>
      </c>
      <c r="J56" s="309">
        <v>20</v>
      </c>
      <c r="K56" s="30">
        <f>+J56</f>
        <v>20</v>
      </c>
      <c r="L56" s="22"/>
    </row>
    <row r="57" spans="1:11" ht="14.25">
      <c r="A57" s="507" t="s">
        <v>191</v>
      </c>
      <c r="B57" s="29"/>
      <c r="C57" s="309">
        <v>3</v>
      </c>
      <c r="D57" s="309">
        <v>60</v>
      </c>
      <c r="E57" s="30">
        <f t="shared" si="2"/>
        <v>180</v>
      </c>
      <c r="G57" s="739"/>
      <c r="H57" s="740"/>
      <c r="I57" s="309"/>
      <c r="J57" s="309"/>
      <c r="K57" s="37">
        <f>+J57*I57</f>
        <v>0</v>
      </c>
    </row>
    <row r="58" spans="1:11" ht="15" thickBot="1">
      <c r="A58" s="507" t="s">
        <v>192</v>
      </c>
      <c r="B58" s="29"/>
      <c r="C58" s="309">
        <v>3</v>
      </c>
      <c r="D58" s="309">
        <v>180</v>
      </c>
      <c r="E58" s="30">
        <f t="shared" si="2"/>
        <v>540</v>
      </c>
      <c r="F58" s="22"/>
      <c r="G58" s="739"/>
      <c r="H58" s="740"/>
      <c r="I58" s="312"/>
      <c r="J58" s="309"/>
      <c r="K58" s="37">
        <f>+J58*I58</f>
        <v>0</v>
      </c>
    </row>
    <row r="59" spans="1:11" ht="15" thickBot="1">
      <c r="A59" s="739"/>
      <c r="B59" s="740"/>
      <c r="C59" s="309"/>
      <c r="D59" s="309"/>
      <c r="E59" s="30">
        <f t="shared" si="2"/>
        <v>0</v>
      </c>
      <c r="F59" s="22"/>
      <c r="G59" s="22"/>
      <c r="H59" s="22"/>
      <c r="I59" s="22"/>
      <c r="J59" s="47" t="s">
        <v>99</v>
      </c>
      <c r="K59" s="39">
        <f>SUM(K53:K58)</f>
        <v>145</v>
      </c>
    </row>
    <row r="60" spans="1:11" ht="14.25">
      <c r="A60" s="739"/>
      <c r="B60" s="740"/>
      <c r="C60" s="309"/>
      <c r="D60" s="309"/>
      <c r="E60" s="30">
        <f t="shared" si="2"/>
        <v>0</v>
      </c>
      <c r="H60" s="22"/>
      <c r="I60" s="22"/>
      <c r="J60" s="47" t="s">
        <v>4</v>
      </c>
      <c r="K60" s="51">
        <f>+K59/60</f>
        <v>2.4166666666666665</v>
      </c>
    </row>
    <row r="61" spans="1:5" ht="15" thickBot="1">
      <c r="A61" s="739"/>
      <c r="B61" s="740"/>
      <c r="C61" s="309"/>
      <c r="D61" s="309"/>
      <c r="E61" s="30">
        <f t="shared" si="2"/>
        <v>0</v>
      </c>
    </row>
    <row r="62" spans="1:6" ht="15" thickBot="1">
      <c r="A62" s="49"/>
      <c r="B62" s="49"/>
      <c r="C62" s="38"/>
      <c r="D62" s="38"/>
      <c r="E62" s="39">
        <f>SUM(E53:E61)</f>
        <v>1380</v>
      </c>
      <c r="F62" s="22" t="s">
        <v>99</v>
      </c>
    </row>
    <row r="63" spans="1:6" ht="15.75" thickBot="1">
      <c r="A63" s="315" t="s">
        <v>128</v>
      </c>
      <c r="B63" s="79"/>
      <c r="C63" s="307">
        <v>2</v>
      </c>
      <c r="E63" s="43">
        <f>+E62/60</f>
        <v>23</v>
      </c>
      <c r="F63" s="22" t="s">
        <v>4</v>
      </c>
    </row>
    <row r="64" spans="1:13" ht="15" thickBot="1">
      <c r="A64" s="73"/>
      <c r="B64" s="73"/>
      <c r="C64" s="74"/>
      <c r="D64" s="74"/>
      <c r="E64" s="75"/>
      <c r="F64" s="75"/>
      <c r="G64" s="75"/>
      <c r="H64" s="75"/>
      <c r="I64" s="75"/>
      <c r="J64" s="75"/>
      <c r="K64" s="75"/>
      <c r="L64" s="75"/>
      <c r="M64" s="75"/>
    </row>
    <row r="65" spans="1:5" ht="13.5" thickTop="1">
      <c r="A65" s="7"/>
      <c r="B65" s="7"/>
      <c r="C65" s="1"/>
      <c r="D65" s="1"/>
      <c r="E65" s="1"/>
    </row>
    <row r="66" spans="1:6" ht="18">
      <c r="A66" s="7"/>
      <c r="B66" s="7"/>
      <c r="C66" s="1"/>
      <c r="D66" s="1"/>
      <c r="E66" s="48"/>
      <c r="F66" s="48"/>
    </row>
    <row r="67" spans="1:6" ht="18">
      <c r="A67" s="7"/>
      <c r="B67" s="7"/>
      <c r="C67" s="1"/>
      <c r="D67" s="1"/>
      <c r="E67" s="52"/>
      <c r="F67" s="52"/>
    </row>
    <row r="68" spans="1:7" ht="14.25">
      <c r="A68" s="7"/>
      <c r="B68" s="7"/>
      <c r="C68" s="1"/>
      <c r="D68" s="1"/>
      <c r="G68" s="22"/>
    </row>
    <row r="69" spans="1:6" ht="15">
      <c r="A69" s="7"/>
      <c r="B69" s="7"/>
      <c r="C69" s="1"/>
      <c r="D69" s="1"/>
      <c r="F69" s="53"/>
    </row>
    <row r="70" spans="1:6" ht="15">
      <c r="A70" s="7"/>
      <c r="B70" s="7"/>
      <c r="C70" s="1"/>
      <c r="D70" s="1"/>
      <c r="F70" s="53"/>
    </row>
    <row r="71" spans="1:6" ht="15">
      <c r="A71" s="7"/>
      <c r="B71" s="7"/>
      <c r="C71" s="1"/>
      <c r="D71" s="1"/>
      <c r="E71" s="1"/>
      <c r="F71" s="53"/>
    </row>
    <row r="72" spans="1:5" ht="12.75">
      <c r="A72" s="7"/>
      <c r="B72" s="7"/>
      <c r="C72" s="1"/>
      <c r="D72" s="1"/>
      <c r="E72" s="1"/>
    </row>
    <row r="73" spans="1:5" ht="12.75">
      <c r="A73" s="7"/>
      <c r="B73" s="7"/>
      <c r="C73" s="1"/>
      <c r="D73" s="1"/>
      <c r="E73" s="1"/>
    </row>
    <row r="74" spans="1:5" ht="12.75">
      <c r="A74" s="7"/>
      <c r="B74" s="7"/>
      <c r="C74" s="1"/>
      <c r="D74" s="1"/>
      <c r="E74" s="1"/>
    </row>
    <row r="75" spans="1:5" ht="12.75">
      <c r="A75" s="7"/>
      <c r="B75" s="7"/>
      <c r="C75" s="1"/>
      <c r="D75" s="1"/>
      <c r="E75" s="1"/>
    </row>
    <row r="76" spans="1:5" ht="12.75">
      <c r="A76" s="7"/>
      <c r="B76" s="7"/>
      <c r="C76" s="1"/>
      <c r="D76" s="1"/>
      <c r="E76" s="1"/>
    </row>
    <row r="77" spans="1:5" ht="12.75">
      <c r="A77" s="7"/>
      <c r="B77" s="7"/>
      <c r="C77" s="1"/>
      <c r="D77" s="1"/>
      <c r="E77" s="1"/>
    </row>
    <row r="78" spans="1:5" ht="12.75">
      <c r="A78" s="7"/>
      <c r="B78" s="7"/>
      <c r="C78" s="1"/>
      <c r="D78" s="1"/>
      <c r="E78" s="1"/>
    </row>
    <row r="79" spans="1:5" ht="12.75">
      <c r="A79" s="7"/>
      <c r="B79" s="7"/>
      <c r="C79" s="1"/>
      <c r="D79" s="1"/>
      <c r="E79" s="1"/>
    </row>
    <row r="80" spans="1:5" ht="12.75">
      <c r="A80" s="7"/>
      <c r="B80" s="7"/>
      <c r="C80" s="1"/>
      <c r="D80" s="1"/>
      <c r="E80" s="1"/>
    </row>
    <row r="81" spans="1:5" ht="12.75">
      <c r="A81" s="7"/>
      <c r="B81" s="7"/>
      <c r="C81" s="1"/>
      <c r="D81" s="1"/>
      <c r="E81" s="1"/>
    </row>
    <row r="82" spans="1:5" ht="23.25">
      <c r="A82" s="27" t="s">
        <v>196</v>
      </c>
      <c r="B82" s="28"/>
      <c r="C82" s="1"/>
      <c r="D82" s="1"/>
      <c r="E82" s="1"/>
    </row>
    <row r="83" spans="1:5" ht="12.75">
      <c r="A83" s="7"/>
      <c r="B83" s="7"/>
      <c r="C83" s="14"/>
      <c r="D83" s="14"/>
      <c r="E83" s="14"/>
    </row>
    <row r="84" spans="1:9" ht="18" customHeight="1">
      <c r="A84" s="512" t="s">
        <v>407</v>
      </c>
      <c r="I84" s="102"/>
    </row>
    <row r="85" ht="10.5" customHeight="1"/>
    <row r="86" ht="15.75">
      <c r="B86" s="182" t="s">
        <v>197</v>
      </c>
    </row>
    <row r="87" spans="1:11" ht="16.5" thickBot="1">
      <c r="A87" s="181" t="s">
        <v>38</v>
      </c>
      <c r="B87" s="183" t="s">
        <v>308</v>
      </c>
      <c r="E87" s="763" t="s">
        <v>198</v>
      </c>
      <c r="F87" s="764"/>
      <c r="G87" s="765"/>
      <c r="H87" s="241">
        <v>8</v>
      </c>
      <c r="I87" s="65" t="s">
        <v>51</v>
      </c>
      <c r="J87" s="242">
        <v>2</v>
      </c>
      <c r="K87" s="547" t="s">
        <v>349</v>
      </c>
    </row>
    <row r="88" spans="1:2" ht="13.5" thickTop="1">
      <c r="A88" s="112">
        <v>1</v>
      </c>
      <c r="B88" s="114">
        <f aca="true" t="shared" si="3" ref="B88:B93">+B118/$H$87</f>
        <v>11.625</v>
      </c>
    </row>
    <row r="89" spans="1:2" ht="12.75">
      <c r="A89" s="90">
        <v>2</v>
      </c>
      <c r="B89" s="114">
        <f t="shared" si="3"/>
        <v>11.625</v>
      </c>
    </row>
    <row r="90" spans="1:2" ht="12.75">
      <c r="A90" s="90">
        <v>3</v>
      </c>
      <c r="B90" s="114">
        <f t="shared" si="3"/>
        <v>11.625</v>
      </c>
    </row>
    <row r="91" spans="1:2" ht="12.75">
      <c r="A91" s="90">
        <v>4</v>
      </c>
      <c r="B91" s="114">
        <f t="shared" si="3"/>
        <v>11.625</v>
      </c>
    </row>
    <row r="92" spans="1:2" ht="12.75">
      <c r="A92" s="90">
        <v>5</v>
      </c>
      <c r="B92" s="114">
        <f t="shared" si="3"/>
        <v>11.625</v>
      </c>
    </row>
    <row r="93" spans="1:2" ht="12.75">
      <c r="A93" s="90">
        <v>6</v>
      </c>
      <c r="B93" s="114">
        <f t="shared" si="3"/>
        <v>11.625</v>
      </c>
    </row>
    <row r="94" spans="2:3" ht="12.75">
      <c r="B94" s="91">
        <f>SUM(B88:B93)</f>
        <v>69.75</v>
      </c>
      <c r="C94" t="s">
        <v>4</v>
      </c>
    </row>
    <row r="95" spans="1:13" ht="13.5" thickBo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5" ht="18">
      <c r="A96" s="50"/>
      <c r="B96" s="7"/>
      <c r="C96" s="14"/>
      <c r="D96" s="14"/>
      <c r="E96" s="14"/>
    </row>
    <row r="97" spans="1:5" ht="12.75">
      <c r="A97" s="7"/>
      <c r="B97" s="7"/>
      <c r="C97" s="14"/>
      <c r="D97" s="14"/>
      <c r="E97" s="14"/>
    </row>
    <row r="98" spans="1:12" ht="20.25">
      <c r="A98" s="512" t="s">
        <v>199</v>
      </c>
      <c r="B98" s="7"/>
      <c r="C98" s="14"/>
      <c r="D98" s="14"/>
      <c r="E98" s="14"/>
      <c r="J98" s="801" t="s">
        <v>10</v>
      </c>
      <c r="K98" s="814"/>
      <c r="L98" s="85">
        <v>2.85</v>
      </c>
    </row>
    <row r="99" spans="1:2" ht="10.5" customHeight="1">
      <c r="A99" s="50"/>
      <c r="B99" s="7"/>
    </row>
    <row r="100" ht="19.5" customHeight="1" thickBot="1">
      <c r="A100" s="54" t="s">
        <v>420</v>
      </c>
    </row>
    <row r="101" spans="1:12" ht="19.5" customHeight="1" thickBot="1">
      <c r="A101" s="50"/>
      <c r="B101" s="14"/>
      <c r="F101" s="780" t="s">
        <v>79</v>
      </c>
      <c r="G101" s="781"/>
      <c r="H101" s="781"/>
      <c r="I101" s="782"/>
      <c r="J101" s="780" t="s">
        <v>23</v>
      </c>
      <c r="K101" s="781"/>
      <c r="L101" s="782"/>
    </row>
    <row r="102" spans="6:12" ht="18" customHeight="1" thickBot="1">
      <c r="F102" s="694" t="s">
        <v>311</v>
      </c>
      <c r="G102" s="751"/>
      <c r="H102" s="694" t="s">
        <v>185</v>
      </c>
      <c r="I102" s="751"/>
      <c r="J102" s="88" t="s">
        <v>186</v>
      </c>
      <c r="K102" s="88" t="s">
        <v>227</v>
      </c>
      <c r="L102" s="88" t="s">
        <v>228</v>
      </c>
    </row>
    <row r="103" spans="2:12" ht="16.5" customHeight="1" thickBot="1">
      <c r="B103" s="786" t="s">
        <v>216</v>
      </c>
      <c r="C103" s="787"/>
      <c r="D103" s="787"/>
      <c r="E103" s="788"/>
      <c r="F103" s="80" t="s">
        <v>312</v>
      </c>
      <c r="G103" s="59" t="s">
        <v>313</v>
      </c>
      <c r="H103" s="59" t="s">
        <v>312</v>
      </c>
      <c r="I103" s="59" t="s">
        <v>313</v>
      </c>
      <c r="J103" s="88" t="s">
        <v>224</v>
      </c>
      <c r="K103" s="88" t="s">
        <v>225</v>
      </c>
      <c r="L103" s="88"/>
    </row>
    <row r="104" spans="1:12" ht="16.5" customHeight="1" thickBot="1">
      <c r="A104" s="111" t="s">
        <v>129</v>
      </c>
      <c r="B104" s="109" t="s">
        <v>26</v>
      </c>
      <c r="C104" s="109" t="s">
        <v>24</v>
      </c>
      <c r="D104" s="109" t="s">
        <v>184</v>
      </c>
      <c r="E104" s="109" t="s">
        <v>22</v>
      </c>
      <c r="F104" s="104">
        <v>54</v>
      </c>
      <c r="G104" s="104">
        <v>102</v>
      </c>
      <c r="H104" s="108" t="str">
        <f>CONCATENATE(F104," mm")</f>
        <v>54 mm</v>
      </c>
      <c r="I104" s="108" t="str">
        <f>CONCATENATE(G104," mm")</f>
        <v>102 mm</v>
      </c>
      <c r="J104" s="109" t="s">
        <v>223</v>
      </c>
      <c r="K104" s="109" t="s">
        <v>226</v>
      </c>
      <c r="L104" s="109"/>
    </row>
    <row r="105" spans="1:12" ht="12" customHeight="1" thickTop="1">
      <c r="A105" s="110">
        <v>1</v>
      </c>
      <c r="B105" s="103">
        <v>6</v>
      </c>
      <c r="C105" s="105">
        <v>2.4</v>
      </c>
      <c r="D105" s="105">
        <v>3</v>
      </c>
      <c r="E105" s="103">
        <v>1</v>
      </c>
      <c r="F105" s="103">
        <v>16</v>
      </c>
      <c r="G105" s="103">
        <v>4</v>
      </c>
      <c r="H105" s="106">
        <f aca="true" t="shared" si="4" ref="H105:H110">+F105*E105*B105</f>
        <v>96</v>
      </c>
      <c r="I105" s="106">
        <f aca="true" t="shared" si="5" ref="I105:I110">G105*E105*B105</f>
        <v>24</v>
      </c>
      <c r="J105" s="103">
        <v>2</v>
      </c>
      <c r="K105" s="103">
        <v>16</v>
      </c>
      <c r="L105" s="107">
        <f aca="true" t="shared" si="6" ref="L105:L110">+$L$98*C105*D105*B105*E105</f>
        <v>123.12</v>
      </c>
    </row>
    <row r="106" spans="1:12" ht="12.75">
      <c r="A106" s="89">
        <v>2</v>
      </c>
      <c r="B106" s="82">
        <v>6</v>
      </c>
      <c r="C106" s="83">
        <v>2.4</v>
      </c>
      <c r="D106" s="83">
        <v>3</v>
      </c>
      <c r="E106" s="82">
        <v>1</v>
      </c>
      <c r="F106" s="103">
        <v>16</v>
      </c>
      <c r="G106" s="82">
        <v>4</v>
      </c>
      <c r="H106" s="2">
        <f t="shared" si="4"/>
        <v>96</v>
      </c>
      <c r="I106" s="2">
        <f t="shared" si="5"/>
        <v>24</v>
      </c>
      <c r="J106" s="103">
        <v>2</v>
      </c>
      <c r="K106" s="82">
        <v>16</v>
      </c>
      <c r="L106" s="86">
        <f t="shared" si="6"/>
        <v>123.12</v>
      </c>
    </row>
    <row r="107" spans="1:12" ht="12.75">
      <c r="A107" s="89">
        <v>3</v>
      </c>
      <c r="B107" s="82">
        <v>6</v>
      </c>
      <c r="C107" s="83">
        <v>2.4</v>
      </c>
      <c r="D107" s="83">
        <v>3</v>
      </c>
      <c r="E107" s="82">
        <v>1</v>
      </c>
      <c r="F107" s="103">
        <v>16</v>
      </c>
      <c r="G107" s="82">
        <v>4</v>
      </c>
      <c r="H107" s="2">
        <f t="shared" si="4"/>
        <v>96</v>
      </c>
      <c r="I107" s="2">
        <f t="shared" si="5"/>
        <v>24</v>
      </c>
      <c r="J107" s="103">
        <v>2</v>
      </c>
      <c r="K107" s="82">
        <v>16</v>
      </c>
      <c r="L107" s="86">
        <f t="shared" si="6"/>
        <v>123.12</v>
      </c>
    </row>
    <row r="108" spans="1:12" ht="12.75">
      <c r="A108" s="89">
        <v>4</v>
      </c>
      <c r="B108" s="82">
        <v>6</v>
      </c>
      <c r="C108" s="83">
        <v>2.4</v>
      </c>
      <c r="D108" s="83">
        <v>3</v>
      </c>
      <c r="E108" s="82">
        <v>1</v>
      </c>
      <c r="F108" s="103">
        <v>16</v>
      </c>
      <c r="G108" s="82">
        <v>4</v>
      </c>
      <c r="H108" s="2">
        <f t="shared" si="4"/>
        <v>96</v>
      </c>
      <c r="I108" s="2">
        <f t="shared" si="5"/>
        <v>24</v>
      </c>
      <c r="J108" s="103">
        <v>2</v>
      </c>
      <c r="K108" s="82">
        <v>16</v>
      </c>
      <c r="L108" s="86">
        <f t="shared" si="6"/>
        <v>123.12</v>
      </c>
    </row>
    <row r="109" spans="1:12" ht="12.75">
      <c r="A109" s="89">
        <v>5</v>
      </c>
      <c r="B109" s="82">
        <v>6</v>
      </c>
      <c r="C109" s="83">
        <v>2.4</v>
      </c>
      <c r="D109" s="83">
        <v>3</v>
      </c>
      <c r="E109" s="82">
        <v>1</v>
      </c>
      <c r="F109" s="103">
        <v>16</v>
      </c>
      <c r="G109" s="82">
        <v>4</v>
      </c>
      <c r="H109" s="2">
        <f t="shared" si="4"/>
        <v>96</v>
      </c>
      <c r="I109" s="2">
        <f t="shared" si="5"/>
        <v>24</v>
      </c>
      <c r="J109" s="103">
        <v>2</v>
      </c>
      <c r="K109" s="82">
        <v>16</v>
      </c>
      <c r="L109" s="86">
        <f t="shared" si="6"/>
        <v>123.12</v>
      </c>
    </row>
    <row r="110" spans="1:12" ht="12.75">
      <c r="A110" s="89">
        <v>6</v>
      </c>
      <c r="B110" s="82">
        <v>6</v>
      </c>
      <c r="C110" s="83">
        <v>2.4</v>
      </c>
      <c r="D110" s="83">
        <v>3</v>
      </c>
      <c r="E110" s="82">
        <v>1</v>
      </c>
      <c r="F110" s="103">
        <v>16</v>
      </c>
      <c r="G110" s="82">
        <v>4</v>
      </c>
      <c r="H110" s="2">
        <f t="shared" si="4"/>
        <v>96</v>
      </c>
      <c r="I110" s="2">
        <f t="shared" si="5"/>
        <v>24</v>
      </c>
      <c r="J110" s="103">
        <v>2</v>
      </c>
      <c r="K110" s="82">
        <v>16</v>
      </c>
      <c r="L110" s="86">
        <f t="shared" si="6"/>
        <v>123.12</v>
      </c>
    </row>
    <row r="111" spans="1:12" ht="12.75">
      <c r="A111" s="7"/>
      <c r="B111" s="7"/>
      <c r="E111" s="84">
        <f>SUM(E105:E110)</f>
        <v>6</v>
      </c>
      <c r="F111" s="1"/>
      <c r="G111" s="1"/>
      <c r="H111" s="84">
        <f>SUM(H105:H110)</f>
        <v>576</v>
      </c>
      <c r="I111" s="84">
        <f>SUM(I105:I110)</f>
        <v>144</v>
      </c>
      <c r="J111" s="84">
        <f>SUM(J105:J110)</f>
        <v>12</v>
      </c>
      <c r="L111" s="87">
        <f>SUM(L105:L110)</f>
        <v>738.72</v>
      </c>
    </row>
    <row r="112" spans="1:3" ht="12.75">
      <c r="A112" s="7"/>
      <c r="B112" s="7"/>
      <c r="C112" s="1"/>
    </row>
    <row r="113" spans="1:3" ht="20.25">
      <c r="A113" s="54" t="s">
        <v>360</v>
      </c>
      <c r="B113" s="7"/>
      <c r="C113" s="1"/>
    </row>
    <row r="114" spans="2:7" ht="12.75">
      <c r="B114" s="7"/>
      <c r="C114" s="1"/>
      <c r="D114" s="1"/>
      <c r="E114" s="1"/>
      <c r="G114" s="261"/>
    </row>
    <row r="115" spans="1:5" ht="12" customHeight="1">
      <c r="A115" s="54"/>
      <c r="B115" s="7"/>
      <c r="C115" s="1"/>
      <c r="D115" s="1"/>
      <c r="E115" s="1"/>
    </row>
    <row r="116" spans="1:13" ht="20.25">
      <c r="A116" s="54"/>
      <c r="B116" s="58" t="s">
        <v>27</v>
      </c>
      <c r="C116" s="58" t="s">
        <v>229</v>
      </c>
      <c r="D116" s="58" t="s">
        <v>222</v>
      </c>
      <c r="E116" s="58" t="s">
        <v>25</v>
      </c>
      <c r="F116" s="58" t="s">
        <v>54</v>
      </c>
      <c r="G116" s="58" t="s">
        <v>233</v>
      </c>
      <c r="H116" s="58" t="s">
        <v>231</v>
      </c>
      <c r="I116" s="58" t="s">
        <v>43</v>
      </c>
      <c r="J116" s="58" t="s">
        <v>232</v>
      </c>
      <c r="K116" s="58" t="s">
        <v>363</v>
      </c>
      <c r="L116" s="58" t="s">
        <v>222</v>
      </c>
      <c r="M116" s="58" t="s">
        <v>55</v>
      </c>
    </row>
    <row r="117" spans="1:13" ht="15" thickBot="1">
      <c r="A117" s="111" t="s">
        <v>129</v>
      </c>
      <c r="B117" s="109" t="s">
        <v>181</v>
      </c>
      <c r="C117" s="109" t="s">
        <v>361</v>
      </c>
      <c r="D117" s="109" t="s">
        <v>362</v>
      </c>
      <c r="E117" s="109" t="s">
        <v>391</v>
      </c>
      <c r="F117" s="109" t="s">
        <v>342</v>
      </c>
      <c r="G117" s="109" t="s">
        <v>392</v>
      </c>
      <c r="H117" s="109" t="s">
        <v>230</v>
      </c>
      <c r="I117" s="109" t="s">
        <v>393</v>
      </c>
      <c r="J117" s="109" t="s">
        <v>29</v>
      </c>
      <c r="K117" s="109" t="s">
        <v>226</v>
      </c>
      <c r="L117" s="109" t="s">
        <v>28</v>
      </c>
      <c r="M117" s="109" t="s">
        <v>226</v>
      </c>
    </row>
    <row r="118" spans="1:13" ht="13.5" thickTop="1">
      <c r="A118" s="112">
        <f aca="true" t="shared" si="7" ref="A118:A123">A105</f>
        <v>1</v>
      </c>
      <c r="B118" s="113">
        <v>93</v>
      </c>
      <c r="C118" s="103">
        <v>1.2</v>
      </c>
      <c r="D118" s="106">
        <f aca="true" t="shared" si="8" ref="D118:D123">ROUNDDOWN(IF(B118=0,0,+(B118-(C105*E105))/C118+1),0)</f>
        <v>76</v>
      </c>
      <c r="E118" s="103">
        <v>18</v>
      </c>
      <c r="F118" s="107">
        <f aca="true" t="shared" si="9" ref="F118:F123">E118*C118*$L$98</f>
        <v>61.559999999999995</v>
      </c>
      <c r="G118" s="103">
        <v>18</v>
      </c>
      <c r="H118" s="106">
        <f aca="true" t="shared" si="10" ref="H118:H123">+G118*D118</f>
        <v>1368</v>
      </c>
      <c r="I118" s="103">
        <v>3</v>
      </c>
      <c r="J118" s="106">
        <f aca="true" t="shared" si="11" ref="J118:J123">+I118*D118</f>
        <v>228</v>
      </c>
      <c r="K118" s="103">
        <v>4</v>
      </c>
      <c r="L118" s="106">
        <f aca="true" t="shared" si="12" ref="L118:L123">ROUNDUP(IF(K118=0,0,D118/K118),0)</f>
        <v>19</v>
      </c>
      <c r="M118" s="107">
        <f aca="true" t="shared" si="13" ref="M118:M123">IF(L118=0,0,+$L$98*E118*C118*(D118)/L118)</f>
        <v>246.24</v>
      </c>
    </row>
    <row r="119" spans="1:13" ht="12.75">
      <c r="A119" s="90">
        <f t="shared" si="7"/>
        <v>2</v>
      </c>
      <c r="B119" s="81">
        <v>93</v>
      </c>
      <c r="C119" s="82">
        <v>1.2</v>
      </c>
      <c r="D119" s="106">
        <f t="shared" si="8"/>
        <v>76</v>
      </c>
      <c r="E119" s="82">
        <v>18</v>
      </c>
      <c r="F119" s="107">
        <f t="shared" si="9"/>
        <v>61.559999999999995</v>
      </c>
      <c r="G119" s="82">
        <v>18</v>
      </c>
      <c r="H119" s="2">
        <f t="shared" si="10"/>
        <v>1368</v>
      </c>
      <c r="I119" s="82">
        <v>3</v>
      </c>
      <c r="J119" s="2">
        <f t="shared" si="11"/>
        <v>228</v>
      </c>
      <c r="K119" s="82">
        <v>4</v>
      </c>
      <c r="L119" s="106">
        <f t="shared" si="12"/>
        <v>19</v>
      </c>
      <c r="M119" s="107">
        <f t="shared" si="13"/>
        <v>246.24</v>
      </c>
    </row>
    <row r="120" spans="1:13" ht="12.75">
      <c r="A120" s="90">
        <f t="shared" si="7"/>
        <v>3</v>
      </c>
      <c r="B120" s="81">
        <v>93</v>
      </c>
      <c r="C120" s="82">
        <v>1.2</v>
      </c>
      <c r="D120" s="106">
        <f t="shared" si="8"/>
        <v>76</v>
      </c>
      <c r="E120" s="82">
        <v>18</v>
      </c>
      <c r="F120" s="107">
        <f t="shared" si="9"/>
        <v>61.559999999999995</v>
      </c>
      <c r="G120" s="82">
        <v>18</v>
      </c>
      <c r="H120" s="2">
        <f t="shared" si="10"/>
        <v>1368</v>
      </c>
      <c r="I120" s="82">
        <v>3</v>
      </c>
      <c r="J120" s="2">
        <f t="shared" si="11"/>
        <v>228</v>
      </c>
      <c r="K120" s="82">
        <v>4</v>
      </c>
      <c r="L120" s="106">
        <f t="shared" si="12"/>
        <v>19</v>
      </c>
      <c r="M120" s="107">
        <f t="shared" si="13"/>
        <v>246.24</v>
      </c>
    </row>
    <row r="121" spans="1:13" ht="12.75">
      <c r="A121" s="90">
        <f t="shared" si="7"/>
        <v>4</v>
      </c>
      <c r="B121" s="81">
        <v>93</v>
      </c>
      <c r="C121" s="82">
        <v>1.2</v>
      </c>
      <c r="D121" s="106">
        <f t="shared" si="8"/>
        <v>76</v>
      </c>
      <c r="E121" s="82">
        <v>18</v>
      </c>
      <c r="F121" s="107">
        <f t="shared" si="9"/>
        <v>61.559999999999995</v>
      </c>
      <c r="G121" s="82">
        <v>18</v>
      </c>
      <c r="H121" s="2">
        <f t="shared" si="10"/>
        <v>1368</v>
      </c>
      <c r="I121" s="82">
        <v>3</v>
      </c>
      <c r="J121" s="2">
        <f t="shared" si="11"/>
        <v>228</v>
      </c>
      <c r="K121" s="82">
        <v>4</v>
      </c>
      <c r="L121" s="106">
        <f t="shared" si="12"/>
        <v>19</v>
      </c>
      <c r="M121" s="107">
        <f t="shared" si="13"/>
        <v>246.24</v>
      </c>
    </row>
    <row r="122" spans="1:13" ht="12.75">
      <c r="A122" s="90">
        <f t="shared" si="7"/>
        <v>5</v>
      </c>
      <c r="B122" s="81">
        <v>93</v>
      </c>
      <c r="C122" s="82">
        <v>1.2</v>
      </c>
      <c r="D122" s="106">
        <f t="shared" si="8"/>
        <v>76</v>
      </c>
      <c r="E122" s="82">
        <v>18</v>
      </c>
      <c r="F122" s="107">
        <f t="shared" si="9"/>
        <v>61.559999999999995</v>
      </c>
      <c r="G122" s="82">
        <v>18</v>
      </c>
      <c r="H122" s="2">
        <f t="shared" si="10"/>
        <v>1368</v>
      </c>
      <c r="I122" s="82">
        <v>3</v>
      </c>
      <c r="J122" s="2">
        <f t="shared" si="11"/>
        <v>228</v>
      </c>
      <c r="K122" s="82">
        <v>4</v>
      </c>
      <c r="L122" s="106">
        <f t="shared" si="12"/>
        <v>19</v>
      </c>
      <c r="M122" s="107">
        <f t="shared" si="13"/>
        <v>246.24</v>
      </c>
    </row>
    <row r="123" spans="1:13" ht="12.75">
      <c r="A123" s="90">
        <f t="shared" si="7"/>
        <v>6</v>
      </c>
      <c r="B123" s="81">
        <v>93</v>
      </c>
      <c r="C123" s="82">
        <v>1.2</v>
      </c>
      <c r="D123" s="106">
        <f t="shared" si="8"/>
        <v>76</v>
      </c>
      <c r="E123" s="82">
        <v>18</v>
      </c>
      <c r="F123" s="107">
        <f t="shared" si="9"/>
        <v>61.559999999999995</v>
      </c>
      <c r="G123" s="82">
        <v>18</v>
      </c>
      <c r="H123" s="2">
        <f t="shared" si="10"/>
        <v>1368</v>
      </c>
      <c r="I123" s="82">
        <v>3</v>
      </c>
      <c r="J123" s="2">
        <f t="shared" si="11"/>
        <v>228</v>
      </c>
      <c r="K123" s="82">
        <v>4</v>
      </c>
      <c r="L123" s="106">
        <f t="shared" si="12"/>
        <v>19</v>
      </c>
      <c r="M123" s="107">
        <f t="shared" si="13"/>
        <v>246.24</v>
      </c>
    </row>
    <row r="124" spans="1:13" ht="12.75">
      <c r="A124" s="7"/>
      <c r="B124" s="7"/>
      <c r="C124" s="1"/>
      <c r="D124" s="1"/>
      <c r="F124" s="87">
        <f>SUM(F118:F123)</f>
        <v>369.35999999999996</v>
      </c>
      <c r="H124" s="84">
        <f>SUM(H118:H123)</f>
        <v>8208</v>
      </c>
      <c r="J124" s="84">
        <f>SUM(J118:J123)</f>
        <v>1368</v>
      </c>
      <c r="L124" s="84">
        <f>SUM(L118:L123)</f>
        <v>114</v>
      </c>
      <c r="M124" s="87">
        <f>SUM(M118:M123)</f>
        <v>1477.44</v>
      </c>
    </row>
    <row r="125" spans="1:4" ht="12.75">
      <c r="A125" s="7"/>
      <c r="B125" s="7"/>
      <c r="C125" s="1"/>
      <c r="D125" s="1"/>
    </row>
    <row r="126" spans="1:10" ht="15">
      <c r="A126" s="7"/>
      <c r="B126" s="7"/>
      <c r="C126" s="1"/>
      <c r="D126" s="1"/>
      <c r="F126" s="243" t="s">
        <v>418</v>
      </c>
      <c r="G126" s="244"/>
      <c r="H126" s="245"/>
      <c r="I126" s="384">
        <f>+D118*F118+D119*F119+D120*F120+D121*F121+D122*F122+D123*F123</f>
        <v>28071.359999999993</v>
      </c>
      <c r="J126" s="6" t="s">
        <v>3</v>
      </c>
    </row>
    <row r="127" spans="1:10" ht="15">
      <c r="A127" s="7"/>
      <c r="B127" s="7"/>
      <c r="C127" s="1"/>
      <c r="D127" s="1"/>
      <c r="F127" s="243" t="s">
        <v>409</v>
      </c>
      <c r="G127" s="244"/>
      <c r="H127" s="245"/>
      <c r="I127" s="61">
        <f>+I126/H124</f>
        <v>3.419999999999999</v>
      </c>
      <c r="J127" s="6" t="s">
        <v>234</v>
      </c>
    </row>
    <row r="128" spans="1:13" ht="13.5" thickBot="1">
      <c r="A128" s="196"/>
      <c r="B128" s="196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5" ht="12.75">
      <c r="A129" s="7"/>
      <c r="B129" s="7"/>
      <c r="C129" s="1"/>
      <c r="D129" s="1"/>
      <c r="E129" s="1"/>
    </row>
    <row r="130" spans="1:4" ht="10.5" customHeight="1" thickBot="1">
      <c r="A130" s="50"/>
      <c r="B130" s="7"/>
      <c r="C130" s="14"/>
      <c r="D130" s="14"/>
    </row>
    <row r="131" spans="1:11" ht="18" customHeight="1" thickBot="1">
      <c r="A131" s="512" t="s">
        <v>200</v>
      </c>
      <c r="E131" s="755" t="s">
        <v>365</v>
      </c>
      <c r="F131" s="789"/>
      <c r="G131" s="789"/>
      <c r="H131" s="756"/>
      <c r="I131" s="102"/>
      <c r="J131" s="741" t="s">
        <v>238</v>
      </c>
      <c r="K131" s="742"/>
    </row>
    <row r="132" spans="2:11" ht="15.75" thickBot="1">
      <c r="B132" s="755" t="s">
        <v>235</v>
      </c>
      <c r="C132" s="756"/>
      <c r="E132" s="761" t="s">
        <v>216</v>
      </c>
      <c r="F132" s="762"/>
      <c r="G132" s="761" t="s">
        <v>109</v>
      </c>
      <c r="H132" s="762"/>
      <c r="J132" s="334" t="s">
        <v>237</v>
      </c>
      <c r="K132" s="334" t="s">
        <v>109</v>
      </c>
    </row>
    <row r="133" spans="1:11" ht="13.5" thickBot="1">
      <c r="A133" s="563" t="s">
        <v>38</v>
      </c>
      <c r="B133" s="564" t="s">
        <v>236</v>
      </c>
      <c r="C133" s="565" t="s">
        <v>109</v>
      </c>
      <c r="E133" s="187" t="s">
        <v>41</v>
      </c>
      <c r="F133" s="188" t="s">
        <v>244</v>
      </c>
      <c r="G133" s="187" t="s">
        <v>41</v>
      </c>
      <c r="H133" s="188" t="s">
        <v>244</v>
      </c>
      <c r="J133" s="335">
        <v>8.9</v>
      </c>
      <c r="K133" s="335">
        <v>13.9</v>
      </c>
    </row>
    <row r="134" spans="1:8" ht="13.5" thickTop="1">
      <c r="A134" s="193">
        <f aca="true" t="shared" si="14" ref="A134:A139">A105</f>
        <v>1</v>
      </c>
      <c r="B134" s="194">
        <f aca="true" t="shared" si="15" ref="B134:B139">H105/$J$133</f>
        <v>10.786516853932584</v>
      </c>
      <c r="C134" s="195">
        <f aca="true" t="shared" si="16" ref="C134:C139">H118/$K$133</f>
        <v>98.41726618705036</v>
      </c>
      <c r="E134" s="189">
        <v>0.1</v>
      </c>
      <c r="F134" s="190">
        <f aca="true" t="shared" si="17" ref="F134:F139">+E134*B134</f>
        <v>1.0786516853932584</v>
      </c>
      <c r="G134" s="189">
        <v>0.01</v>
      </c>
      <c r="H134" s="190">
        <f aca="true" t="shared" si="18" ref="H134:H139">+G134*C134</f>
        <v>0.9841726618705036</v>
      </c>
    </row>
    <row r="135" spans="1:12" ht="15">
      <c r="A135" s="95">
        <f t="shared" si="14"/>
        <v>2</v>
      </c>
      <c r="B135" s="333">
        <f t="shared" si="15"/>
        <v>10.786516853932584</v>
      </c>
      <c r="C135" s="97">
        <f t="shared" si="16"/>
        <v>98.41726618705036</v>
      </c>
      <c r="E135" s="191">
        <v>0.1</v>
      </c>
      <c r="F135" s="23">
        <f t="shared" si="17"/>
        <v>1.0786516853932584</v>
      </c>
      <c r="G135" s="191">
        <v>0.01</v>
      </c>
      <c r="H135" s="23">
        <f t="shared" si="18"/>
        <v>0.9841726618705036</v>
      </c>
      <c r="I135" s="268" t="s">
        <v>106</v>
      </c>
      <c r="J135" s="266"/>
      <c r="K135" s="266"/>
      <c r="L135" s="267"/>
    </row>
    <row r="136" spans="1:12" ht="12.75">
      <c r="A136" s="95">
        <f t="shared" si="14"/>
        <v>3</v>
      </c>
      <c r="B136" s="96">
        <f t="shared" si="15"/>
        <v>10.786516853932584</v>
      </c>
      <c r="C136" s="97">
        <f t="shared" si="16"/>
        <v>98.41726618705036</v>
      </c>
      <c r="E136" s="191">
        <v>0.1</v>
      </c>
      <c r="F136" s="23">
        <f t="shared" si="17"/>
        <v>1.0786516853932584</v>
      </c>
      <c r="G136" s="191">
        <v>0.01</v>
      </c>
      <c r="H136" s="23">
        <f t="shared" si="18"/>
        <v>0.9841726618705036</v>
      </c>
      <c r="I136" s="279" t="s">
        <v>309</v>
      </c>
      <c r="J136" s="55"/>
      <c r="K136" s="4"/>
      <c r="L136" s="265">
        <v>8</v>
      </c>
    </row>
    <row r="137" spans="1:12" ht="12.75">
      <c r="A137" s="95">
        <f t="shared" si="14"/>
        <v>4</v>
      </c>
      <c r="B137" s="96">
        <f t="shared" si="15"/>
        <v>10.786516853932584</v>
      </c>
      <c r="C137" s="97">
        <f t="shared" si="16"/>
        <v>98.41726618705036</v>
      </c>
      <c r="E137" s="191">
        <v>0.1</v>
      </c>
      <c r="F137" s="23">
        <f t="shared" si="17"/>
        <v>1.0786516853932584</v>
      </c>
      <c r="G137" s="191">
        <v>0.01</v>
      </c>
      <c r="H137" s="23">
        <f t="shared" si="18"/>
        <v>0.9841726618705036</v>
      </c>
      <c r="I137" s="279" t="s">
        <v>239</v>
      </c>
      <c r="J137" s="55"/>
      <c r="K137" s="4"/>
      <c r="L137" s="262">
        <v>4</v>
      </c>
    </row>
    <row r="138" spans="1:12" ht="12.75">
      <c r="A138" s="95">
        <f t="shared" si="14"/>
        <v>5</v>
      </c>
      <c r="B138" s="96">
        <f t="shared" si="15"/>
        <v>10.786516853932584</v>
      </c>
      <c r="C138" s="97">
        <f t="shared" si="16"/>
        <v>98.41726618705036</v>
      </c>
      <c r="E138" s="191">
        <v>0.1</v>
      </c>
      <c r="F138" s="23">
        <f t="shared" si="17"/>
        <v>1.0786516853932584</v>
      </c>
      <c r="G138" s="191">
        <v>0.01</v>
      </c>
      <c r="H138" s="23">
        <f t="shared" si="18"/>
        <v>0.9841726618705036</v>
      </c>
      <c r="I138" s="279" t="s">
        <v>240</v>
      </c>
      <c r="J138" s="55"/>
      <c r="K138" s="4"/>
      <c r="L138" s="262">
        <v>2</v>
      </c>
    </row>
    <row r="139" spans="1:12" ht="12.75">
      <c r="A139" s="95">
        <f t="shared" si="14"/>
        <v>6</v>
      </c>
      <c r="B139" s="96">
        <f t="shared" si="15"/>
        <v>10.786516853932584</v>
      </c>
      <c r="C139" s="97">
        <f t="shared" si="16"/>
        <v>98.41726618705036</v>
      </c>
      <c r="E139" s="405">
        <v>0.1</v>
      </c>
      <c r="F139" s="23">
        <f t="shared" si="17"/>
        <v>1.0786516853932584</v>
      </c>
      <c r="G139" s="191">
        <v>0.01</v>
      </c>
      <c r="H139" s="23">
        <f t="shared" si="18"/>
        <v>0.9841726618705036</v>
      </c>
      <c r="I139" s="279" t="s">
        <v>411</v>
      </c>
      <c r="J139" s="55"/>
      <c r="K139" s="4"/>
      <c r="L139" s="262">
        <v>2</v>
      </c>
    </row>
    <row r="140" spans="2:12" ht="13.5" thickBot="1">
      <c r="B140" s="269">
        <f>SUM(B134:B139)</f>
        <v>64.71910112359551</v>
      </c>
      <c r="C140" s="270">
        <f>SUM(C134:C139)</f>
        <v>590.5035971223022</v>
      </c>
      <c r="E140" s="192">
        <f>+F140/B140</f>
        <v>0.09999999999999999</v>
      </c>
      <c r="F140" s="98">
        <f>SUM(F134:F139)</f>
        <v>6.47191011235955</v>
      </c>
      <c r="G140" s="192">
        <f>+H140/C140</f>
        <v>0.009999999999999998</v>
      </c>
      <c r="H140" s="98">
        <f>SUM(H134:H139)</f>
        <v>5.905035971223021</v>
      </c>
      <c r="I140" s="279" t="s">
        <v>107</v>
      </c>
      <c r="J140" s="55"/>
      <c r="K140" s="4"/>
      <c r="L140" s="262">
        <v>2</v>
      </c>
    </row>
    <row r="141" spans="1:12" ht="13.5" thickBot="1">
      <c r="A141" t="s">
        <v>366</v>
      </c>
      <c r="B141" s="294">
        <f>ROUND(B140/(C280-E22-L142/60),0)</f>
        <v>12</v>
      </c>
      <c r="C141" s="293">
        <f>ROUND(C140/(C280-E22-L142/60),0)</f>
        <v>106</v>
      </c>
      <c r="D141" t="s">
        <v>366</v>
      </c>
      <c r="E141" s="15"/>
      <c r="F141" s="497">
        <f>ROUND(F140/(C280-E22-L142/60),0)</f>
        <v>1</v>
      </c>
      <c r="H141" s="292">
        <f>ROUND(H140/(C280-E22-L142/60),0)</f>
        <v>1</v>
      </c>
      <c r="I141" s="277"/>
      <c r="J141" s="278"/>
      <c r="K141" s="278"/>
      <c r="L141" s="263"/>
    </row>
    <row r="142" spans="1:13" ht="13.5" thickBot="1">
      <c r="A142" s="261" t="s">
        <v>367</v>
      </c>
      <c r="B142" s="580">
        <f>+B140+B141*L142/60</f>
        <v>68.3191011235955</v>
      </c>
      <c r="C142" s="581">
        <f>+C140+C141*L142/60</f>
        <v>622.3035971223021</v>
      </c>
      <c r="D142" s="261" t="s">
        <v>412</v>
      </c>
      <c r="F142" s="275">
        <f>+F140+F141*L142/60</f>
        <v>6.77191011235955</v>
      </c>
      <c r="H142" s="275">
        <f>+H140+H141*L142/60</f>
        <v>6.205035971223021</v>
      </c>
      <c r="I142" s="217"/>
      <c r="J142" s="217"/>
      <c r="K142" s="274" t="s">
        <v>241</v>
      </c>
      <c r="L142" s="264">
        <f>SUM(L136:L141)</f>
        <v>18</v>
      </c>
      <c r="M142" s="6" t="s">
        <v>410</v>
      </c>
    </row>
    <row r="143" spans="1:13" ht="24" customHeight="1" thickBot="1">
      <c r="A143" s="261"/>
      <c r="M143" s="6"/>
    </row>
    <row r="144" spans="2:13" ht="14.25" thickBot="1" thickTop="1">
      <c r="B144" s="759" t="s">
        <v>243</v>
      </c>
      <c r="C144" s="760"/>
      <c r="D144" s="6" t="s">
        <v>256</v>
      </c>
      <c r="M144" s="6"/>
    </row>
    <row r="145" spans="1:13" ht="13.5" thickBot="1">
      <c r="A145" s="501" t="s">
        <v>217</v>
      </c>
      <c r="B145" s="320">
        <f>+E321</f>
        <v>43</v>
      </c>
      <c r="C145" s="321">
        <f>+E322</f>
        <v>67.3</v>
      </c>
      <c r="D145" s="502" t="s">
        <v>242</v>
      </c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5" ht="18">
      <c r="A146" s="50"/>
      <c r="B146" s="7"/>
      <c r="C146" s="14"/>
      <c r="D146" s="14"/>
      <c r="E146" s="14"/>
    </row>
    <row r="147" spans="1:3" ht="20.25">
      <c r="A147" s="512" t="s">
        <v>413</v>
      </c>
      <c r="B147" s="7"/>
      <c r="C147" s="1"/>
    </row>
    <row r="148" spans="1:5" ht="20.25">
      <c r="A148" s="54"/>
      <c r="B148" s="7"/>
      <c r="C148" s="1"/>
      <c r="D148" s="1"/>
      <c r="E148" s="1"/>
    </row>
    <row r="149" spans="1:11" ht="15" customHeight="1">
      <c r="A149" s="58" t="s">
        <v>129</v>
      </c>
      <c r="B149" s="58" t="s">
        <v>27</v>
      </c>
      <c r="C149" s="58" t="s">
        <v>229</v>
      </c>
      <c r="D149" s="58" t="s">
        <v>222</v>
      </c>
      <c r="E149" s="58" t="s">
        <v>245</v>
      </c>
      <c r="F149" s="58" t="s">
        <v>246</v>
      </c>
      <c r="G149" s="58" t="s">
        <v>248</v>
      </c>
      <c r="H149" s="58" t="s">
        <v>231</v>
      </c>
      <c r="I149" s="58" t="s">
        <v>78</v>
      </c>
      <c r="J149" s="58" t="s">
        <v>197</v>
      </c>
      <c r="K149" s="58" t="s">
        <v>368</v>
      </c>
    </row>
    <row r="150" spans="1:11" ht="15" customHeight="1" thickBot="1">
      <c r="A150" s="109" t="s">
        <v>109</v>
      </c>
      <c r="B150" s="109" t="s">
        <v>181</v>
      </c>
      <c r="C150" s="109" t="s">
        <v>361</v>
      </c>
      <c r="D150" s="109" t="s">
        <v>362</v>
      </c>
      <c r="E150" s="109" t="s">
        <v>342</v>
      </c>
      <c r="F150" s="109" t="s">
        <v>247</v>
      </c>
      <c r="G150" s="109" t="s">
        <v>342</v>
      </c>
      <c r="H150" s="109" t="s">
        <v>230</v>
      </c>
      <c r="I150" s="109" t="s">
        <v>112</v>
      </c>
      <c r="J150" s="109" t="s">
        <v>249</v>
      </c>
      <c r="K150" s="109" t="s">
        <v>369</v>
      </c>
    </row>
    <row r="151" spans="1:11" ht="15" customHeight="1" thickTop="1">
      <c r="A151" s="112">
        <f aca="true" t="shared" si="19" ref="A151:A156">A105</f>
        <v>1</v>
      </c>
      <c r="B151" s="383">
        <v>93</v>
      </c>
      <c r="C151" s="103">
        <v>2.4</v>
      </c>
      <c r="D151" s="106">
        <f aca="true" t="shared" si="20" ref="D151:D156">ROUNDDOWN(IF(B118=0,0,+(B118)/C151),0)</f>
        <v>38</v>
      </c>
      <c r="E151" s="103">
        <v>6</v>
      </c>
      <c r="F151" s="103">
        <v>1</v>
      </c>
      <c r="G151" s="103">
        <v>30</v>
      </c>
      <c r="H151" s="106">
        <f aca="true" t="shared" si="21" ref="H151:H156">+G151*D151</f>
        <v>1140</v>
      </c>
      <c r="I151" s="106">
        <f aca="true" t="shared" si="22" ref="I151:I156">+G151*F151*D151</f>
        <v>1140</v>
      </c>
      <c r="J151" s="386">
        <f aca="true" t="shared" si="23" ref="J151:J156">+H151/$E$168</f>
        <v>76.51006711409396</v>
      </c>
      <c r="K151" s="386">
        <f aca="true" t="shared" si="24" ref="K151:K156">+$L$169/60*E151*D151</f>
        <v>30.400000000000002</v>
      </c>
    </row>
    <row r="152" spans="1:11" ht="15" customHeight="1">
      <c r="A152" s="112">
        <f t="shared" si="19"/>
        <v>2</v>
      </c>
      <c r="B152" s="383">
        <v>93</v>
      </c>
      <c r="C152" s="82">
        <v>2.4</v>
      </c>
      <c r="D152" s="106">
        <f t="shared" si="20"/>
        <v>38</v>
      </c>
      <c r="E152" s="82">
        <v>6</v>
      </c>
      <c r="F152" s="82">
        <v>1</v>
      </c>
      <c r="G152" s="82">
        <v>30</v>
      </c>
      <c r="H152" s="2">
        <f t="shared" si="21"/>
        <v>1140</v>
      </c>
      <c r="I152" s="2">
        <f t="shared" si="22"/>
        <v>1140</v>
      </c>
      <c r="J152" s="386">
        <f t="shared" si="23"/>
        <v>76.51006711409396</v>
      </c>
      <c r="K152" s="386">
        <f t="shared" si="24"/>
        <v>30.400000000000002</v>
      </c>
    </row>
    <row r="153" spans="1:11" ht="15" customHeight="1">
      <c r="A153" s="112">
        <f t="shared" si="19"/>
        <v>3</v>
      </c>
      <c r="B153" s="383">
        <v>93</v>
      </c>
      <c r="C153" s="82">
        <v>2.4</v>
      </c>
      <c r="D153" s="106">
        <f t="shared" si="20"/>
        <v>38</v>
      </c>
      <c r="E153" s="82">
        <v>6</v>
      </c>
      <c r="F153" s="82">
        <v>1</v>
      </c>
      <c r="G153" s="82">
        <v>30</v>
      </c>
      <c r="H153" s="2">
        <f t="shared" si="21"/>
        <v>1140</v>
      </c>
      <c r="I153" s="2">
        <f t="shared" si="22"/>
        <v>1140</v>
      </c>
      <c r="J153" s="386">
        <f t="shared" si="23"/>
        <v>76.51006711409396</v>
      </c>
      <c r="K153" s="386">
        <f t="shared" si="24"/>
        <v>30.400000000000002</v>
      </c>
    </row>
    <row r="154" spans="1:11" ht="15" customHeight="1">
      <c r="A154" s="112">
        <f t="shared" si="19"/>
        <v>4</v>
      </c>
      <c r="B154" s="383">
        <f>IF(B121&gt;0,B121,"")</f>
        <v>93</v>
      </c>
      <c r="C154" s="82">
        <v>2.4</v>
      </c>
      <c r="D154" s="106">
        <f t="shared" si="20"/>
        <v>38</v>
      </c>
      <c r="E154" s="82">
        <v>6</v>
      </c>
      <c r="F154" s="82">
        <v>1</v>
      </c>
      <c r="G154" s="82">
        <v>30</v>
      </c>
      <c r="H154" s="2">
        <f t="shared" si="21"/>
        <v>1140</v>
      </c>
      <c r="I154" s="2">
        <f t="shared" si="22"/>
        <v>1140</v>
      </c>
      <c r="J154" s="386">
        <f t="shared" si="23"/>
        <v>76.51006711409396</v>
      </c>
      <c r="K154" s="386">
        <f t="shared" si="24"/>
        <v>30.400000000000002</v>
      </c>
    </row>
    <row r="155" spans="1:11" ht="15" customHeight="1">
      <c r="A155" s="112">
        <f t="shared" si="19"/>
        <v>5</v>
      </c>
      <c r="B155" s="383">
        <f>IF(B122&gt;0,B122,"")</f>
        <v>93</v>
      </c>
      <c r="C155" s="82">
        <v>2.4</v>
      </c>
      <c r="D155" s="106">
        <f t="shared" si="20"/>
        <v>38</v>
      </c>
      <c r="E155" s="82">
        <v>6</v>
      </c>
      <c r="F155" s="82">
        <v>1</v>
      </c>
      <c r="G155" s="82">
        <v>30</v>
      </c>
      <c r="H155" s="2">
        <f t="shared" si="21"/>
        <v>1140</v>
      </c>
      <c r="I155" s="2">
        <f t="shared" si="22"/>
        <v>1140</v>
      </c>
      <c r="J155" s="386">
        <f t="shared" si="23"/>
        <v>76.51006711409396</v>
      </c>
      <c r="K155" s="386">
        <f t="shared" si="24"/>
        <v>30.400000000000002</v>
      </c>
    </row>
    <row r="156" spans="1:11" ht="15" customHeight="1" thickBot="1">
      <c r="A156" s="398">
        <f t="shared" si="19"/>
        <v>6</v>
      </c>
      <c r="B156" s="399">
        <f>IF(B123&gt;0,B123,"")</f>
        <v>93</v>
      </c>
      <c r="C156" s="400">
        <v>2.4</v>
      </c>
      <c r="D156" s="401">
        <f t="shared" si="20"/>
        <v>38</v>
      </c>
      <c r="E156" s="400">
        <v>6</v>
      </c>
      <c r="F156" s="400">
        <v>1</v>
      </c>
      <c r="G156" s="400">
        <v>30</v>
      </c>
      <c r="H156" s="401">
        <f t="shared" si="21"/>
        <v>1140</v>
      </c>
      <c r="I156" s="401">
        <f t="shared" si="22"/>
        <v>1140</v>
      </c>
      <c r="J156" s="332">
        <f t="shared" si="23"/>
        <v>76.51006711409396</v>
      </c>
      <c r="K156" s="332">
        <f t="shared" si="24"/>
        <v>30.400000000000002</v>
      </c>
    </row>
    <row r="157" spans="1:6" ht="20.25" customHeight="1">
      <c r="A157" s="6" t="s">
        <v>419</v>
      </c>
      <c r="B157" s="403"/>
      <c r="C157" s="404"/>
      <c r="D157" s="404"/>
      <c r="E157" s="404"/>
      <c r="F157" s="402"/>
    </row>
    <row r="158" spans="1:11" ht="15" customHeight="1">
      <c r="A158" s="89"/>
      <c r="B158" s="81"/>
      <c r="C158" s="82"/>
      <c r="D158" s="2">
        <f>ROUNDDOWN(IF(B158=0,0,+(B158)/C158),0)</f>
        <v>0</v>
      </c>
      <c r="E158" s="82"/>
      <c r="F158" s="82"/>
      <c r="G158" s="82"/>
      <c r="H158" s="2">
        <f>+G158*D158</f>
        <v>0</v>
      </c>
      <c r="I158" s="2">
        <f>+G158*F158*D158</f>
        <v>0</v>
      </c>
      <c r="J158" s="20">
        <f>+H158/$E$168</f>
        <v>0</v>
      </c>
      <c r="K158" s="20">
        <f>+$L$169/60*E158*D158</f>
        <v>0</v>
      </c>
    </row>
    <row r="159" spans="1:11" ht="15" customHeight="1">
      <c r="A159" s="89"/>
      <c r="B159" s="81"/>
      <c r="C159" s="82"/>
      <c r="D159" s="2">
        <f>ROUNDDOWN(IF(B159=0,0,+(B159)/C159),0)</f>
        <v>0</v>
      </c>
      <c r="E159" s="82"/>
      <c r="F159" s="82"/>
      <c r="G159" s="82"/>
      <c r="H159" s="2">
        <f>+G159*D159</f>
        <v>0</v>
      </c>
      <c r="I159" s="2">
        <f>+G159*F159*D159</f>
        <v>0</v>
      </c>
      <c r="J159" s="386">
        <f>+H159/$E$168</f>
        <v>0</v>
      </c>
      <c r="K159" s="386">
        <f>+$L$169/60*E159*D159</f>
        <v>0</v>
      </c>
    </row>
    <row r="160" spans="1:11" ht="15" customHeight="1">
      <c r="A160" s="89"/>
      <c r="B160" s="81"/>
      <c r="C160" s="82"/>
      <c r="D160" s="2">
        <f>ROUNDDOWN(IF(B160=0,0,+(B160)/C160),0)</f>
        <v>0</v>
      </c>
      <c r="E160" s="82"/>
      <c r="F160" s="82"/>
      <c r="G160" s="82"/>
      <c r="H160" s="2">
        <f>+G160*D160</f>
        <v>0</v>
      </c>
      <c r="I160" s="2">
        <f>+G160*F160*D160</f>
        <v>0</v>
      </c>
      <c r="J160" s="386">
        <f>+H160/$E$168</f>
        <v>0</v>
      </c>
      <c r="K160" s="386">
        <f>+$L$169/60*E160*D160</f>
        <v>0</v>
      </c>
    </row>
    <row r="161" spans="1:11" ht="15" customHeight="1">
      <c r="A161" s="89"/>
      <c r="B161" s="81"/>
      <c r="C161" s="82"/>
      <c r="D161" s="2">
        <f>ROUNDDOWN(IF(B161=0,0,+(B161)/C161),0)</f>
        <v>0</v>
      </c>
      <c r="E161" s="82"/>
      <c r="F161" s="82"/>
      <c r="G161" s="82"/>
      <c r="H161" s="2">
        <f>+G161*D161</f>
        <v>0</v>
      </c>
      <c r="I161" s="2">
        <f>+G161*F161*D161</f>
        <v>0</v>
      </c>
      <c r="J161" s="386">
        <f>+H161/$E$168</f>
        <v>0</v>
      </c>
      <c r="K161" s="386">
        <f>+$L$169/60*E161*D161</f>
        <v>0</v>
      </c>
    </row>
    <row r="162" spans="1:11" ht="12.75">
      <c r="A162" s="7"/>
      <c r="B162" s="7"/>
      <c r="C162" s="1"/>
      <c r="D162" s="1"/>
      <c r="H162" s="84">
        <f>SUM(H151:H161)</f>
        <v>6840</v>
      </c>
      <c r="I162" s="84">
        <f>SUM(I151:I161)</f>
        <v>6840</v>
      </c>
      <c r="J162" s="392">
        <f>ROUND(SUM(J151:J161),1)</f>
        <v>459.1</v>
      </c>
      <c r="K162" s="392">
        <f>ROUND(SUM(K151:K161),1)</f>
        <v>182.4</v>
      </c>
    </row>
    <row r="163" spans="1:12" ht="18">
      <c r="A163" s="7"/>
      <c r="B163" s="7"/>
      <c r="C163" s="1"/>
      <c r="D163" s="1"/>
      <c r="I163" s="805" t="s">
        <v>77</v>
      </c>
      <c r="J163" s="806"/>
      <c r="K163" s="807"/>
      <c r="L163" s="815" t="s">
        <v>250</v>
      </c>
    </row>
    <row r="164" spans="1:12" ht="18.75" thickBot="1">
      <c r="A164" s="7"/>
      <c r="B164" s="243" t="s">
        <v>370</v>
      </c>
      <c r="C164" s="244"/>
      <c r="D164" s="245"/>
      <c r="E164" s="384">
        <f>+I126</f>
        <v>28071.359999999993</v>
      </c>
      <c r="F164" s="6" t="s">
        <v>3</v>
      </c>
      <c r="I164" s="732" t="s">
        <v>113</v>
      </c>
      <c r="J164" s="733"/>
      <c r="K164" s="734"/>
      <c r="L164" s="816"/>
    </row>
    <row r="165" spans="1:12" ht="15.75" thickTop="1">
      <c r="A165" s="7"/>
      <c r="B165" s="243" t="s">
        <v>254</v>
      </c>
      <c r="C165" s="244"/>
      <c r="D165" s="245"/>
      <c r="E165" s="385">
        <f>+I162/E164</f>
        <v>0.24366471734892794</v>
      </c>
      <c r="F165" s="6" t="s">
        <v>314</v>
      </c>
      <c r="I165" s="179" t="s">
        <v>280</v>
      </c>
      <c r="J165" s="55"/>
      <c r="K165" s="4"/>
      <c r="L165" s="110">
        <v>3</v>
      </c>
    </row>
    <row r="166" spans="1:12" ht="18">
      <c r="A166" s="50"/>
      <c r="B166" s="7"/>
      <c r="C166" s="14"/>
      <c r="D166" s="14"/>
      <c r="E166" s="14"/>
      <c r="I166" s="179" t="s">
        <v>251</v>
      </c>
      <c r="J166" s="55"/>
      <c r="K166" s="4"/>
      <c r="L166" s="89">
        <v>0</v>
      </c>
    </row>
    <row r="167" spans="1:12" ht="18">
      <c r="A167" s="50"/>
      <c r="B167" s="7"/>
      <c r="C167" s="14"/>
      <c r="D167" s="14"/>
      <c r="E167" s="14"/>
      <c r="I167" s="179" t="s">
        <v>281</v>
      </c>
      <c r="J167" s="55"/>
      <c r="K167" s="4"/>
      <c r="L167" s="89">
        <v>5</v>
      </c>
    </row>
    <row r="168" spans="2:12" ht="16.5" thickBot="1">
      <c r="B168" s="741" t="s">
        <v>238</v>
      </c>
      <c r="C168" s="790"/>
      <c r="D168" s="742"/>
      <c r="E168" s="391">
        <v>14.9</v>
      </c>
      <c r="F168" s="24" t="s">
        <v>282</v>
      </c>
      <c r="I168" s="608" t="s">
        <v>252</v>
      </c>
      <c r="J168" s="609"/>
      <c r="K168" s="610"/>
      <c r="L168" s="611">
        <v>0</v>
      </c>
    </row>
    <row r="169" spans="2:12" ht="12.75">
      <c r="B169" s="746" t="s">
        <v>221</v>
      </c>
      <c r="C169" s="747"/>
      <c r="D169" s="748"/>
      <c r="E169" s="387">
        <v>1</v>
      </c>
      <c r="I169" s="612"/>
      <c r="J169" s="613"/>
      <c r="K169" s="614" t="s">
        <v>432</v>
      </c>
      <c r="L169" s="607">
        <f>SUM(L165:L168)</f>
        <v>8</v>
      </c>
    </row>
    <row r="170" spans="2:12" ht="12.75">
      <c r="B170" s="752" t="s">
        <v>243</v>
      </c>
      <c r="C170" s="753"/>
      <c r="D170" s="754"/>
      <c r="E170" s="409">
        <f>+E323</f>
        <v>76.04822289356302</v>
      </c>
      <c r="F170" s="6" t="s">
        <v>272</v>
      </c>
      <c r="I170" s="743" t="s">
        <v>253</v>
      </c>
      <c r="J170" s="744"/>
      <c r="K170" s="745"/>
      <c r="L170" s="387">
        <v>2</v>
      </c>
    </row>
    <row r="171" spans="2:11" ht="12.75">
      <c r="B171" s="6" t="s">
        <v>255</v>
      </c>
      <c r="I171" s="408"/>
      <c r="J171" s="408"/>
      <c r="K171" s="408"/>
    </row>
    <row r="172" spans="9:11" ht="12.75">
      <c r="I172" s="408"/>
      <c r="J172" s="408"/>
      <c r="K172" s="408"/>
    </row>
    <row r="173" ht="20.25">
      <c r="A173" s="512" t="s">
        <v>201</v>
      </c>
    </row>
    <row r="175" ht="21" thickBot="1">
      <c r="A175" s="197" t="s">
        <v>202</v>
      </c>
    </row>
    <row r="176" spans="4:6" ht="13.5" thickBot="1">
      <c r="D176" s="783" t="s">
        <v>258</v>
      </c>
      <c r="E176" s="784"/>
      <c r="F176" s="785"/>
    </row>
    <row r="177" spans="2:10" ht="12.75">
      <c r="B177" s="757" t="s">
        <v>130</v>
      </c>
      <c r="C177" s="758"/>
      <c r="D177" s="12"/>
      <c r="E177" s="58" t="s">
        <v>257</v>
      </c>
      <c r="F177" s="11"/>
      <c r="G177" s="817" t="s">
        <v>131</v>
      </c>
      <c r="H177" s="779"/>
      <c r="I177" s="778" t="s">
        <v>132</v>
      </c>
      <c r="J177" s="779"/>
    </row>
    <row r="178" spans="1:10" ht="13.5" thickBot="1">
      <c r="A178" s="181" t="s">
        <v>38</v>
      </c>
      <c r="B178" s="200" t="s">
        <v>236</v>
      </c>
      <c r="C178" s="252" t="s">
        <v>109</v>
      </c>
      <c r="D178" s="250" t="s">
        <v>236</v>
      </c>
      <c r="E178" s="246" t="s">
        <v>364</v>
      </c>
      <c r="F178" s="251" t="s">
        <v>109</v>
      </c>
      <c r="G178" s="256" t="s">
        <v>236</v>
      </c>
      <c r="H178" s="201" t="s">
        <v>109</v>
      </c>
      <c r="I178" s="200" t="s">
        <v>236</v>
      </c>
      <c r="J178" s="201" t="s">
        <v>109</v>
      </c>
    </row>
    <row r="179" spans="1:10" ht="13.5" thickTop="1">
      <c r="A179" s="193">
        <f aca="true" t="shared" si="25" ref="A179:A184">A105</f>
        <v>1</v>
      </c>
      <c r="B179" s="198">
        <f aca="true" t="shared" si="26" ref="B179:B184">+K105*J105</f>
        <v>32</v>
      </c>
      <c r="C179" s="253">
        <f aca="true" t="shared" si="27" ref="C179:C184">+J118</f>
        <v>228</v>
      </c>
      <c r="D179" s="198">
        <f aca="true" t="shared" si="28" ref="D179:D184">+H105</f>
        <v>96</v>
      </c>
      <c r="E179" s="248">
        <v>3</v>
      </c>
      <c r="F179" s="199">
        <f aca="true" t="shared" si="29" ref="F179:F184">+H118-E179*D118</f>
        <v>1140</v>
      </c>
      <c r="G179" s="257">
        <f aca="true" t="shared" si="30" ref="G179:G184">D179*$L$189</f>
        <v>222.0598324715163</v>
      </c>
      <c r="H179" s="199">
        <f aca="true" t="shared" si="31" ref="H179:H184">F179*$M$189</f>
        <v>2636.9605105992564</v>
      </c>
      <c r="I179" s="198">
        <f aca="true" t="shared" si="32" ref="I179:I184">IF(J105=0,0,IF(E105=0,0,+G179/J105/E105))</f>
        <v>111.02991623575815</v>
      </c>
      <c r="J179" s="199">
        <f aca="true" t="shared" si="33" ref="J179:J184">IF(L118=0,0,+H179/L118)</f>
        <v>138.78739529469772</v>
      </c>
    </row>
    <row r="180" spans="1:10" ht="12.75">
      <c r="A180" s="95">
        <f t="shared" si="25"/>
        <v>2</v>
      </c>
      <c r="B180" s="92">
        <f t="shared" si="26"/>
        <v>32</v>
      </c>
      <c r="C180" s="254">
        <f t="shared" si="27"/>
        <v>228</v>
      </c>
      <c r="D180" s="92">
        <f t="shared" si="28"/>
        <v>96</v>
      </c>
      <c r="E180" s="249">
        <v>3</v>
      </c>
      <c r="F180" s="199">
        <f t="shared" si="29"/>
        <v>1140</v>
      </c>
      <c r="G180" s="258">
        <f t="shared" si="30"/>
        <v>222.0598324715163</v>
      </c>
      <c r="H180" s="57">
        <f t="shared" si="31"/>
        <v>2636.9605105992564</v>
      </c>
      <c r="I180" s="92">
        <f t="shared" si="32"/>
        <v>111.02991623575815</v>
      </c>
      <c r="J180" s="57">
        <f t="shared" si="33"/>
        <v>138.78739529469772</v>
      </c>
    </row>
    <row r="181" spans="1:10" ht="12.75">
      <c r="A181" s="95">
        <f t="shared" si="25"/>
        <v>3</v>
      </c>
      <c r="B181" s="92">
        <f t="shared" si="26"/>
        <v>32</v>
      </c>
      <c r="C181" s="254">
        <f t="shared" si="27"/>
        <v>228</v>
      </c>
      <c r="D181" s="92">
        <f t="shared" si="28"/>
        <v>96</v>
      </c>
      <c r="E181" s="249">
        <v>3</v>
      </c>
      <c r="F181" s="199">
        <f t="shared" si="29"/>
        <v>1140</v>
      </c>
      <c r="G181" s="258">
        <f t="shared" si="30"/>
        <v>222.0598324715163</v>
      </c>
      <c r="H181" s="57">
        <f t="shared" si="31"/>
        <v>2636.9605105992564</v>
      </c>
      <c r="I181" s="92">
        <f t="shared" si="32"/>
        <v>111.02991623575815</v>
      </c>
      <c r="J181" s="57">
        <f t="shared" si="33"/>
        <v>138.78739529469772</v>
      </c>
    </row>
    <row r="182" spans="1:10" ht="12.75">
      <c r="A182" s="95">
        <f t="shared" si="25"/>
        <v>4</v>
      </c>
      <c r="B182" s="92">
        <f t="shared" si="26"/>
        <v>32</v>
      </c>
      <c r="C182" s="254">
        <f t="shared" si="27"/>
        <v>228</v>
      </c>
      <c r="D182" s="92">
        <f t="shared" si="28"/>
        <v>96</v>
      </c>
      <c r="E182" s="249">
        <v>3</v>
      </c>
      <c r="F182" s="199">
        <f t="shared" si="29"/>
        <v>1140</v>
      </c>
      <c r="G182" s="258">
        <f t="shared" si="30"/>
        <v>222.0598324715163</v>
      </c>
      <c r="H182" s="57">
        <f t="shared" si="31"/>
        <v>2636.9605105992564</v>
      </c>
      <c r="I182" s="92">
        <f t="shared" si="32"/>
        <v>111.02991623575815</v>
      </c>
      <c r="J182" s="57">
        <f t="shared" si="33"/>
        <v>138.78739529469772</v>
      </c>
    </row>
    <row r="183" spans="1:10" ht="12.75">
      <c r="A183" s="95">
        <f t="shared" si="25"/>
        <v>5</v>
      </c>
      <c r="B183" s="92">
        <f t="shared" si="26"/>
        <v>32</v>
      </c>
      <c r="C183" s="254">
        <f t="shared" si="27"/>
        <v>228</v>
      </c>
      <c r="D183" s="92">
        <f t="shared" si="28"/>
        <v>96</v>
      </c>
      <c r="E183" s="249">
        <v>3</v>
      </c>
      <c r="F183" s="199">
        <f t="shared" si="29"/>
        <v>1140</v>
      </c>
      <c r="G183" s="258">
        <f t="shared" si="30"/>
        <v>222.0598324715163</v>
      </c>
      <c r="H183" s="57">
        <f t="shared" si="31"/>
        <v>2636.9605105992564</v>
      </c>
      <c r="I183" s="92">
        <f t="shared" si="32"/>
        <v>111.02991623575815</v>
      </c>
      <c r="J183" s="57">
        <f t="shared" si="33"/>
        <v>138.78739529469772</v>
      </c>
    </row>
    <row r="184" spans="1:13" ht="13.5" thickBot="1">
      <c r="A184" s="95">
        <f t="shared" si="25"/>
        <v>6</v>
      </c>
      <c r="B184" s="92">
        <f t="shared" si="26"/>
        <v>32</v>
      </c>
      <c r="C184" s="254">
        <f t="shared" si="27"/>
        <v>228</v>
      </c>
      <c r="D184" s="92">
        <f t="shared" si="28"/>
        <v>96</v>
      </c>
      <c r="E184" s="249">
        <v>3</v>
      </c>
      <c r="F184" s="199">
        <f t="shared" si="29"/>
        <v>1140</v>
      </c>
      <c r="G184" s="258">
        <f t="shared" si="30"/>
        <v>222.0598324715163</v>
      </c>
      <c r="H184" s="57">
        <f t="shared" si="31"/>
        <v>2636.9605105992564</v>
      </c>
      <c r="I184" s="185">
        <f t="shared" si="32"/>
        <v>111.02991623575815</v>
      </c>
      <c r="J184" s="186">
        <f t="shared" si="33"/>
        <v>138.78739529469772</v>
      </c>
      <c r="L184" s="808" t="s">
        <v>42</v>
      </c>
      <c r="M184" s="808"/>
    </row>
    <row r="185" spans="2:13" ht="13.5" thickBot="1">
      <c r="B185" s="93">
        <f>SUM(B179:B184)</f>
        <v>192</v>
      </c>
      <c r="C185" s="255">
        <f>SUM(C179:C184)</f>
        <v>1368</v>
      </c>
      <c r="D185" s="93">
        <f>SUM(D179:D184)</f>
        <v>576</v>
      </c>
      <c r="E185" s="247"/>
      <c r="F185" s="94">
        <f>SUM(F179:F184)</f>
        <v>6840</v>
      </c>
      <c r="G185" s="259">
        <f>SUM(G179:G184)</f>
        <v>1332.3589948290978</v>
      </c>
      <c r="H185" s="94">
        <f>SUM(H179:H184)</f>
        <v>15821.763063595537</v>
      </c>
      <c r="L185" s="809"/>
      <c r="M185" s="809"/>
    </row>
    <row r="186" spans="12:13" ht="18" customHeight="1">
      <c r="L186" s="184" t="s">
        <v>236</v>
      </c>
      <c r="M186" s="184" t="s">
        <v>109</v>
      </c>
    </row>
    <row r="187" spans="11:13" ht="12.75">
      <c r="K187" s="15" t="s">
        <v>259</v>
      </c>
      <c r="L187" s="89">
        <v>1.01</v>
      </c>
      <c r="M187" s="89">
        <v>1.01</v>
      </c>
    </row>
    <row r="188" spans="11:13" ht="12.75">
      <c r="K188" s="15" t="s">
        <v>260</v>
      </c>
      <c r="L188" s="90">
        <f>+F104</f>
        <v>54</v>
      </c>
      <c r="M188" s="90">
        <f>+F104</f>
        <v>54</v>
      </c>
    </row>
    <row r="189" spans="11:13" ht="13.5" thickBot="1">
      <c r="K189" s="15" t="s">
        <v>261</v>
      </c>
      <c r="L189" s="238">
        <f>POWER(L188/1000,2)*PI()/4*1000*L187</f>
        <v>2.3131232549116283</v>
      </c>
      <c r="M189" s="238">
        <f>POWER(M188/1000,2)*PI()/4*1000*M187</f>
        <v>2.3131232549116283</v>
      </c>
    </row>
    <row r="190" spans="10:13" ht="15.75" thickBot="1">
      <c r="J190" s="260"/>
      <c r="K190" s="240" t="s">
        <v>262</v>
      </c>
      <c r="L190" s="239">
        <f>+G185/L111</f>
        <v>1.8036048771240765</v>
      </c>
      <c r="M190" s="239">
        <f>+H185/I126</f>
        <v>0.5636265241012741</v>
      </c>
    </row>
    <row r="191" spans="11:13" ht="15">
      <c r="K191" s="65" t="s">
        <v>133</v>
      </c>
      <c r="L191" s="276">
        <v>1</v>
      </c>
      <c r="M191" s="276">
        <v>1</v>
      </c>
    </row>
    <row r="193" ht="15">
      <c r="K193" s="65"/>
    </row>
    <row r="194" ht="20.25">
      <c r="A194" s="197" t="s">
        <v>203</v>
      </c>
    </row>
    <row r="196" ht="13.5" thickBot="1"/>
    <row r="197" spans="2:13" ht="18">
      <c r="B197" s="679" t="s">
        <v>263</v>
      </c>
      <c r="C197" s="680"/>
      <c r="D197" s="681"/>
      <c r="E197" s="679" t="s">
        <v>110</v>
      </c>
      <c r="F197" s="680"/>
      <c r="G197" s="681"/>
      <c r="I197" s="724" t="s">
        <v>328</v>
      </c>
      <c r="J197" s="725"/>
      <c r="K197" s="726"/>
      <c r="L197" s="720" t="s">
        <v>264</v>
      </c>
      <c r="M197" s="721"/>
    </row>
    <row r="198" spans="1:13" ht="18.75" thickBot="1">
      <c r="A198" s="181" t="s">
        <v>38</v>
      </c>
      <c r="B198" s="209" t="s">
        <v>45</v>
      </c>
      <c r="C198" s="111" t="s">
        <v>46</v>
      </c>
      <c r="D198" s="210" t="s">
        <v>18</v>
      </c>
      <c r="E198" s="209" t="s">
        <v>45</v>
      </c>
      <c r="F198" s="111" t="s">
        <v>46</v>
      </c>
      <c r="G198" s="210" t="s">
        <v>18</v>
      </c>
      <c r="I198" s="732" t="s">
        <v>44</v>
      </c>
      <c r="J198" s="733"/>
      <c r="K198" s="734"/>
      <c r="L198" s="111" t="s">
        <v>236</v>
      </c>
      <c r="M198" s="111" t="s">
        <v>109</v>
      </c>
    </row>
    <row r="199" spans="1:13" ht="18" customHeight="1" thickTop="1">
      <c r="A199" s="193">
        <f aca="true" t="shared" si="34" ref="A199:A204">A105</f>
        <v>1</v>
      </c>
      <c r="B199" s="211">
        <f aca="true" t="shared" si="35" ref="B199:B204">($L$199+$L$200*$L$191+$L$201+$L$202)/60/$M$210/0.9*K105*E105*J105+J105*E105*$L$203/60</f>
        <v>3.3925925925925924</v>
      </c>
      <c r="C199" s="207">
        <f aca="true" t="shared" si="36" ref="C199:C204">+G179/$K$210+G179/$L$211</f>
        <v>1.603765456738729</v>
      </c>
      <c r="D199" s="212">
        <f aca="true" t="shared" si="37" ref="D199:D204">+C199+B199</f>
        <v>4.996358049331321</v>
      </c>
      <c r="E199" s="211">
        <f aca="true" t="shared" si="38" ref="E199:E204">($M$199+$M$200*$M$191+$M$201+$M$202)/60/$M$210/0.9*J118+$M$203*D118/60/$M$210/0.9</f>
        <v>19</v>
      </c>
      <c r="F199" s="207">
        <f aca="true" t="shared" si="39" ref="F199:F204">H179/$L$210+H179/$L$211</f>
        <v>16.40775428817315</v>
      </c>
      <c r="G199" s="212">
        <f aca="true" t="shared" si="40" ref="G199:G204">+F199+E199</f>
        <v>35.40775428817315</v>
      </c>
      <c r="I199" s="179" t="s">
        <v>137</v>
      </c>
      <c r="J199" s="55"/>
      <c r="K199" s="4"/>
      <c r="L199" s="110">
        <v>4</v>
      </c>
      <c r="M199" s="110">
        <v>3</v>
      </c>
    </row>
    <row r="200" spans="1:13" ht="18" customHeight="1">
      <c r="A200" s="95">
        <f t="shared" si="34"/>
        <v>2</v>
      </c>
      <c r="B200" s="211">
        <f t="shared" si="35"/>
        <v>3.3925925925925924</v>
      </c>
      <c r="C200" s="207">
        <f t="shared" si="36"/>
        <v>1.603765456738729</v>
      </c>
      <c r="D200" s="213">
        <f t="shared" si="37"/>
        <v>4.996358049331321</v>
      </c>
      <c r="E200" s="211">
        <f t="shared" si="38"/>
        <v>19</v>
      </c>
      <c r="F200" s="207">
        <f t="shared" si="39"/>
        <v>16.40775428817315</v>
      </c>
      <c r="G200" s="213">
        <f t="shared" si="40"/>
        <v>35.40775428817315</v>
      </c>
      <c r="I200" s="179" t="s">
        <v>283</v>
      </c>
      <c r="J200" s="55"/>
      <c r="K200" s="4"/>
      <c r="L200" s="89">
        <v>2</v>
      </c>
      <c r="M200" s="89">
        <v>2</v>
      </c>
    </row>
    <row r="201" spans="1:13" ht="18" customHeight="1">
      <c r="A201" s="95">
        <f t="shared" si="34"/>
        <v>3</v>
      </c>
      <c r="B201" s="211">
        <f t="shared" si="35"/>
        <v>3.3925925925925924</v>
      </c>
      <c r="C201" s="207">
        <f t="shared" si="36"/>
        <v>1.603765456738729</v>
      </c>
      <c r="D201" s="213">
        <f t="shared" si="37"/>
        <v>4.996358049331321</v>
      </c>
      <c r="E201" s="211">
        <f t="shared" si="38"/>
        <v>19</v>
      </c>
      <c r="F201" s="207">
        <f t="shared" si="39"/>
        <v>16.40775428817315</v>
      </c>
      <c r="G201" s="213">
        <f t="shared" si="40"/>
        <v>35.40775428817315</v>
      </c>
      <c r="I201" s="179" t="s">
        <v>138</v>
      </c>
      <c r="J201" s="55"/>
      <c r="K201" s="4"/>
      <c r="L201" s="89">
        <v>3</v>
      </c>
      <c r="M201" s="89">
        <v>2</v>
      </c>
    </row>
    <row r="202" spans="1:13" ht="18" customHeight="1">
      <c r="A202" s="95">
        <f t="shared" si="34"/>
        <v>4</v>
      </c>
      <c r="B202" s="211">
        <f t="shared" si="35"/>
        <v>3.3925925925925924</v>
      </c>
      <c r="C202" s="207">
        <f t="shared" si="36"/>
        <v>1.603765456738729</v>
      </c>
      <c r="D202" s="213">
        <f t="shared" si="37"/>
        <v>4.996358049331321</v>
      </c>
      <c r="E202" s="211">
        <f t="shared" si="38"/>
        <v>19</v>
      </c>
      <c r="F202" s="207">
        <f t="shared" si="39"/>
        <v>16.40775428817315</v>
      </c>
      <c r="G202" s="213">
        <f t="shared" si="40"/>
        <v>35.40775428817315</v>
      </c>
      <c r="I202" s="179" t="s">
        <v>139</v>
      </c>
      <c r="J202" s="55"/>
      <c r="K202" s="4"/>
      <c r="L202" s="89">
        <v>2</v>
      </c>
      <c r="M202" s="89">
        <v>1</v>
      </c>
    </row>
    <row r="203" spans="1:13" ht="18" customHeight="1">
      <c r="A203" s="95">
        <f t="shared" si="34"/>
        <v>5</v>
      </c>
      <c r="B203" s="211">
        <f t="shared" si="35"/>
        <v>3.3925925925925924</v>
      </c>
      <c r="C203" s="207">
        <f t="shared" si="36"/>
        <v>1.603765456738729</v>
      </c>
      <c r="D203" s="213">
        <f t="shared" si="37"/>
        <v>4.996358049331321</v>
      </c>
      <c r="E203" s="211">
        <f t="shared" si="38"/>
        <v>19</v>
      </c>
      <c r="F203" s="207">
        <f t="shared" si="39"/>
        <v>16.40775428817315</v>
      </c>
      <c r="G203" s="213">
        <f t="shared" si="40"/>
        <v>35.40775428817315</v>
      </c>
      <c r="I203" s="180" t="s">
        <v>394</v>
      </c>
      <c r="J203" s="217"/>
      <c r="K203" s="17"/>
      <c r="L203" s="89">
        <v>4</v>
      </c>
      <c r="M203" s="89">
        <v>3</v>
      </c>
    </row>
    <row r="204" spans="1:7" ht="18" customHeight="1" thickBot="1">
      <c r="A204" s="95">
        <f t="shared" si="34"/>
        <v>6</v>
      </c>
      <c r="B204" s="499">
        <f t="shared" si="35"/>
        <v>3.3925925925925924</v>
      </c>
      <c r="C204" s="419">
        <f t="shared" si="36"/>
        <v>1.603765456738729</v>
      </c>
      <c r="D204" s="215">
        <f t="shared" si="37"/>
        <v>4.996358049331321</v>
      </c>
      <c r="E204" s="499">
        <f t="shared" si="38"/>
        <v>19</v>
      </c>
      <c r="F204" s="214">
        <f t="shared" si="39"/>
        <v>16.40775428817315</v>
      </c>
      <c r="G204" s="215">
        <f t="shared" si="40"/>
        <v>35.40775428817315</v>
      </c>
    </row>
    <row r="205" spans="2:7" ht="18" customHeight="1" thickBot="1">
      <c r="B205" s="18">
        <f>SUM(B199:B204)</f>
        <v>20.355555555555554</v>
      </c>
      <c r="D205" s="208">
        <f>SUM(D199:D204)</f>
        <v>29.978148295987925</v>
      </c>
      <c r="F205" s="18"/>
      <c r="G205" s="208">
        <f>SUM(G199:G204)</f>
        <v>212.4465257290389</v>
      </c>
    </row>
    <row r="206" ht="18" customHeight="1"/>
    <row r="207" ht="18" customHeight="1"/>
    <row r="208" ht="18" customHeight="1"/>
    <row r="209" spans="1:13" ht="13.5" thickBot="1">
      <c r="A209" s="216" t="s">
        <v>267</v>
      </c>
      <c r="B209" s="6" t="s">
        <v>268</v>
      </c>
      <c r="K209" s="111" t="s">
        <v>236</v>
      </c>
      <c r="L209" s="515" t="s">
        <v>109</v>
      </c>
      <c r="M209" s="111" t="s">
        <v>310</v>
      </c>
    </row>
    <row r="210" spans="2:13" ht="17.25" customHeight="1" thickBot="1" thickTop="1">
      <c r="B210" s="6" t="s">
        <v>395</v>
      </c>
      <c r="H210" s="202" t="s">
        <v>265</v>
      </c>
      <c r="I210" s="203"/>
      <c r="J210" s="204"/>
      <c r="K210" s="205">
        <v>200</v>
      </c>
      <c r="L210" s="206">
        <v>250</v>
      </c>
      <c r="M210" s="224">
        <v>2</v>
      </c>
    </row>
    <row r="211" spans="8:13" ht="15" customHeight="1" thickBot="1">
      <c r="H211" s="682" t="s">
        <v>266</v>
      </c>
      <c r="I211" s="683"/>
      <c r="J211" s="683"/>
      <c r="K211" s="684"/>
      <c r="L211" s="727">
        <v>450</v>
      </c>
      <c r="M211" s="722">
        <v>2</v>
      </c>
    </row>
    <row r="212" spans="1:13" ht="15.75" customHeight="1" thickBot="1">
      <c r="A212" s="50" t="s">
        <v>111</v>
      </c>
      <c r="B212" s="413" t="s">
        <v>136</v>
      </c>
      <c r="C212" s="414"/>
      <c r="D212" s="415"/>
      <c r="E212" s="417">
        <f>ROUND(E213/(I126/SUM(D118:D123)),1)</f>
        <v>4.7</v>
      </c>
      <c r="F212" s="6" t="s">
        <v>269</v>
      </c>
      <c r="H212" s="685"/>
      <c r="I212" s="686"/>
      <c r="J212" s="686"/>
      <c r="K212" s="687"/>
      <c r="L212" s="728"/>
      <c r="M212" s="723"/>
    </row>
    <row r="213" spans="1:6" ht="15.75" customHeight="1" thickBot="1">
      <c r="A213" s="50"/>
      <c r="B213" s="410" t="s">
        <v>134</v>
      </c>
      <c r="C213" s="411"/>
      <c r="D213" s="412"/>
      <c r="E213" s="416">
        <f>+F322</f>
        <v>289.4</v>
      </c>
      <c r="F213" s="6" t="s">
        <v>270</v>
      </c>
    </row>
    <row r="214" spans="1:5" ht="15.75" customHeight="1" thickBot="1">
      <c r="A214" s="50"/>
      <c r="B214" s="7"/>
      <c r="C214" s="14"/>
      <c r="D214" s="14"/>
      <c r="E214" s="14"/>
    </row>
    <row r="215" spans="1:6" ht="15.75" customHeight="1">
      <c r="A215" s="50" t="s">
        <v>83</v>
      </c>
      <c r="B215" s="413" t="s">
        <v>135</v>
      </c>
      <c r="C215" s="414"/>
      <c r="D215" s="415"/>
      <c r="E215" s="420">
        <f>+J111/E310</f>
        <v>1.0253125864252342</v>
      </c>
      <c r="F215" s="6" t="s">
        <v>271</v>
      </c>
    </row>
    <row r="216" spans="1:6" ht="15.75" customHeight="1" thickBot="1">
      <c r="A216" s="50" t="s">
        <v>350</v>
      </c>
      <c r="B216" s="410" t="s">
        <v>315</v>
      </c>
      <c r="C216" s="411"/>
      <c r="D216" s="412"/>
      <c r="E216" s="418">
        <f>+F321/L111*SUM(B105:B110)</f>
        <v>3.075937759275702</v>
      </c>
      <c r="F216" s="6" t="s">
        <v>272</v>
      </c>
    </row>
    <row r="217" spans="1:13" ht="13.5" thickBo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20" spans="1:12" ht="20.25">
      <c r="A220" s="28" t="s">
        <v>204</v>
      </c>
      <c r="J220" s="19"/>
      <c r="L220" s="19"/>
    </row>
    <row r="221" spans="10:12" ht="12.75">
      <c r="J221" s="19"/>
      <c r="L221" s="19"/>
    </row>
    <row r="222" spans="1:12" ht="18" customHeight="1">
      <c r="A222" s="509" t="s">
        <v>396</v>
      </c>
      <c r="L222" s="19"/>
    </row>
    <row r="223" spans="1:12" ht="15" customHeight="1" thickBot="1">
      <c r="A223" s="21"/>
      <c r="L223" s="19"/>
    </row>
    <row r="224" spans="1:12" ht="15" customHeight="1" thickBot="1">
      <c r="A224" s="749" t="s">
        <v>397</v>
      </c>
      <c r="B224" s="750"/>
      <c r="C224" s="344" t="s">
        <v>414</v>
      </c>
      <c r="D224" s="699" t="s">
        <v>108</v>
      </c>
      <c r="E224" s="699"/>
      <c r="F224" s="712" t="s">
        <v>206</v>
      </c>
      <c r="G224" s="713"/>
      <c r="H224" s="714"/>
      <c r="I224" s="712" t="s">
        <v>111</v>
      </c>
      <c r="J224" s="713"/>
      <c r="K224" s="714"/>
      <c r="L224" s="19"/>
    </row>
    <row r="225" spans="1:13" ht="15" customHeight="1">
      <c r="A225" s="675" t="s">
        <v>398</v>
      </c>
      <c r="B225" s="676"/>
      <c r="C225" s="342" t="s">
        <v>47</v>
      </c>
      <c r="D225" s="700" t="s">
        <v>273</v>
      </c>
      <c r="E225" s="700"/>
      <c r="F225" s="218" t="s">
        <v>1</v>
      </c>
      <c r="G225" s="219" t="s">
        <v>49</v>
      </c>
      <c r="H225" s="220" t="s">
        <v>6</v>
      </c>
      <c r="I225" s="218" t="s">
        <v>1</v>
      </c>
      <c r="J225" s="219" t="s">
        <v>49</v>
      </c>
      <c r="K225" s="220" t="s">
        <v>6</v>
      </c>
      <c r="L225" s="78" t="s">
        <v>117</v>
      </c>
      <c r="M225" s="78" t="s">
        <v>7</v>
      </c>
    </row>
    <row r="226" spans="3:13" ht="14.25">
      <c r="C226" s="3" t="s">
        <v>207</v>
      </c>
      <c r="D226" s="705" t="s">
        <v>208</v>
      </c>
      <c r="E226" s="705"/>
      <c r="F226" s="235"/>
      <c r="G226" s="226"/>
      <c r="H226" s="10" t="s">
        <v>207</v>
      </c>
      <c r="I226" s="235"/>
      <c r="J226" s="226"/>
      <c r="K226" s="343" t="s">
        <v>207</v>
      </c>
      <c r="L226" s="3" t="s">
        <v>207</v>
      </c>
      <c r="M226" s="3" t="s">
        <v>208</v>
      </c>
    </row>
    <row r="227" spans="1:13" ht="14.25">
      <c r="A227" s="688" t="s">
        <v>399</v>
      </c>
      <c r="B227" s="689"/>
      <c r="C227" s="56">
        <f>E35</f>
        <v>1</v>
      </c>
      <c r="D227" s="703">
        <f>+E63</f>
        <v>23</v>
      </c>
      <c r="E227" s="704"/>
      <c r="F227" s="235"/>
      <c r="G227" s="226"/>
      <c r="H227" s="221">
        <f>+L45</f>
        <v>2.48</v>
      </c>
      <c r="I227" s="235"/>
      <c r="J227" s="226"/>
      <c r="K227" s="221">
        <f>+L45</f>
        <v>2.48</v>
      </c>
      <c r="L227" s="236">
        <f>+E45</f>
        <v>2.17</v>
      </c>
      <c r="M227" s="236">
        <f>+K60</f>
        <v>2.4166666666666665</v>
      </c>
    </row>
    <row r="228" spans="1:13" ht="15" thickBot="1">
      <c r="A228" s="688" t="s">
        <v>66</v>
      </c>
      <c r="B228" s="689"/>
      <c r="C228" s="346">
        <f>COUNTIF(B118:B123,"&gt;0")</f>
        <v>6</v>
      </c>
      <c r="D228" s="706">
        <v>1</v>
      </c>
      <c r="E228" s="707"/>
      <c r="F228" s="347"/>
      <c r="G228" s="348"/>
      <c r="H228" s="349">
        <f>(E105*J105+E106*J106+E107*J107+E108*J108+E109*J109+E110*J110)</f>
        <v>12</v>
      </c>
      <c r="I228" s="347"/>
      <c r="J228" s="348"/>
      <c r="K228" s="349">
        <f>L124</f>
        <v>114</v>
      </c>
      <c r="L228" s="345">
        <f>COUNTIF(B151:B161,"&gt;0")</f>
        <v>6</v>
      </c>
      <c r="M228" s="345">
        <v>1</v>
      </c>
    </row>
    <row r="229" spans="3:13" ht="15.75" thickTop="1">
      <c r="C229" s="350">
        <f>+C228*C227</f>
        <v>6</v>
      </c>
      <c r="D229" s="735">
        <f>+D228*D227</f>
        <v>23</v>
      </c>
      <c r="E229" s="736"/>
      <c r="F229" s="351"/>
      <c r="G229" s="352"/>
      <c r="H229" s="353">
        <f>ROUND(+H228*H227,2)</f>
        <v>29.76</v>
      </c>
      <c r="I229" s="351"/>
      <c r="J229" s="352"/>
      <c r="K229" s="353">
        <f>ROUND(+K228*K227,2)</f>
        <v>282.72</v>
      </c>
      <c r="L229" s="354">
        <f>+L228*L227</f>
        <v>13.02</v>
      </c>
      <c r="M229" s="354">
        <f>+M228*M227</f>
        <v>2.4166666666666665</v>
      </c>
    </row>
    <row r="230" ht="13.5" thickBot="1"/>
    <row r="231" ht="12.75">
      <c r="M231" s="406" t="s">
        <v>18</v>
      </c>
    </row>
    <row r="232" ht="12.75">
      <c r="M232" s="482" t="s">
        <v>401</v>
      </c>
    </row>
    <row r="233" ht="15.75" thickBot="1">
      <c r="M233" s="520">
        <f>SUM(C229:M229)</f>
        <v>356.9166666666667</v>
      </c>
    </row>
    <row r="235" ht="13.5" thickBot="1"/>
    <row r="236" spans="1:12" ht="15" customHeight="1" thickBot="1">
      <c r="A236" s="749" t="s">
        <v>400</v>
      </c>
      <c r="B236" s="750"/>
      <c r="C236" s="344" t="s">
        <v>414</v>
      </c>
      <c r="D236" s="699" t="s">
        <v>108</v>
      </c>
      <c r="E236" s="699"/>
      <c r="F236" s="712" t="s">
        <v>206</v>
      </c>
      <c r="G236" s="713"/>
      <c r="H236" s="714"/>
      <c r="I236" s="712" t="s">
        <v>111</v>
      </c>
      <c r="J236" s="713"/>
      <c r="K236" s="714"/>
      <c r="L236" s="19"/>
    </row>
    <row r="237" spans="1:13" ht="15" customHeight="1">
      <c r="A237" s="690" t="s">
        <v>205</v>
      </c>
      <c r="B237" s="691"/>
      <c r="C237" s="342" t="s">
        <v>47</v>
      </c>
      <c r="D237" s="700" t="s">
        <v>273</v>
      </c>
      <c r="E237" s="700"/>
      <c r="F237" s="218" t="s">
        <v>1</v>
      </c>
      <c r="G237" s="219" t="s">
        <v>49</v>
      </c>
      <c r="H237" s="220" t="s">
        <v>6</v>
      </c>
      <c r="I237" s="218" t="s">
        <v>1</v>
      </c>
      <c r="J237" s="219" t="s">
        <v>49</v>
      </c>
      <c r="K237" s="220" t="s">
        <v>6</v>
      </c>
      <c r="L237" s="78" t="s">
        <v>117</v>
      </c>
      <c r="M237" s="78" t="s">
        <v>7</v>
      </c>
    </row>
    <row r="238" spans="2:12" ht="12.75">
      <c r="B238" s="376"/>
      <c r="C238" s="3" t="s">
        <v>209</v>
      </c>
      <c r="D238" s="801" t="s">
        <v>208</v>
      </c>
      <c r="E238" s="802"/>
      <c r="F238" s="3" t="s">
        <v>210</v>
      </c>
      <c r="G238" s="3" t="s">
        <v>210</v>
      </c>
      <c r="H238" s="343" t="s">
        <v>211</v>
      </c>
      <c r="I238" s="3" t="s">
        <v>210</v>
      </c>
      <c r="J238" s="3" t="s">
        <v>210</v>
      </c>
      <c r="K238" s="343" t="s">
        <v>211</v>
      </c>
      <c r="L238" s="343" t="s">
        <v>212</v>
      </c>
    </row>
    <row r="239" spans="1:13" ht="15.75" thickBot="1">
      <c r="A239" s="799" t="s">
        <v>274</v>
      </c>
      <c r="B239" s="800"/>
      <c r="C239" s="56">
        <f>+B94</f>
        <v>69.75</v>
      </c>
      <c r="D239" s="803"/>
      <c r="E239" s="804"/>
      <c r="F239" s="222">
        <f>+B142</f>
        <v>68.3191011235955</v>
      </c>
      <c r="G239" s="223">
        <f>+F142</f>
        <v>6.77191011235955</v>
      </c>
      <c r="H239" s="225">
        <f>D205</f>
        <v>29.978148295987925</v>
      </c>
      <c r="I239" s="222">
        <f>+C142</f>
        <v>622.3035971223021</v>
      </c>
      <c r="J239" s="223">
        <f>+H142</f>
        <v>6.205035971223021</v>
      </c>
      <c r="K239" s="225">
        <f>G205</f>
        <v>212.4465257290389</v>
      </c>
      <c r="L239" s="388">
        <f>+K162+J162</f>
        <v>641.5</v>
      </c>
      <c r="M239" s="227"/>
    </row>
    <row r="240" spans="1:13" ht="15" thickBot="1">
      <c r="A240" s="180" t="s">
        <v>140</v>
      </c>
      <c r="B240" s="357"/>
      <c r="C240" s="355">
        <f>+J87</f>
        <v>2</v>
      </c>
      <c r="D240" s="697">
        <f>+C63</f>
        <v>2</v>
      </c>
      <c r="E240" s="698"/>
      <c r="F240" s="810" t="s">
        <v>284</v>
      </c>
      <c r="G240" s="811"/>
      <c r="H240" s="362" t="str">
        <f>CONCATENATE(M210," hom (charg.)")</f>
        <v>2 hom (charg.)</v>
      </c>
      <c r="I240" s="572" t="s">
        <v>285</v>
      </c>
      <c r="J240" s="573" t="s">
        <v>68</v>
      </c>
      <c r="K240" s="362" t="str">
        <f>CONCATENATE(M210," hom (charg.)")</f>
        <v>2 hom (charg.)</v>
      </c>
      <c r="L240" s="362" t="str">
        <f>CONCATENATE(E169," hom (forage)")</f>
        <v>1 hom (forage)</v>
      </c>
      <c r="M240" s="319" t="str">
        <f>+I240</f>
        <v>Un homme</v>
      </c>
    </row>
    <row r="241" spans="1:12" ht="15" thickBot="1">
      <c r="A241" s="62"/>
      <c r="B241" s="62"/>
      <c r="F241" s="694" t="s">
        <v>63</v>
      </c>
      <c r="G241" s="695"/>
      <c r="H241" s="363" t="str">
        <f>CONCATENATE(M211," hom (transp.)")</f>
        <v>2 hom (transp.)</v>
      </c>
      <c r="I241" s="731" t="s">
        <v>63</v>
      </c>
      <c r="J241" s="695"/>
      <c r="K241" s="363" t="str">
        <f>CONCATENATE(M211," hom (transp.)")</f>
        <v>2 hom (transp.)</v>
      </c>
      <c r="L241" s="363" t="str">
        <f>CONCATENATE(L170," hom (install.)")</f>
        <v>2 hom (install.)</v>
      </c>
    </row>
    <row r="242" spans="1:13" ht="15.75" customHeight="1">
      <c r="A242" s="62"/>
      <c r="B242" s="62"/>
      <c r="M242" s="406" t="s">
        <v>18</v>
      </c>
    </row>
    <row r="243" spans="1:13" ht="15.75" customHeight="1">
      <c r="A243" s="62"/>
      <c r="B243" s="62"/>
      <c r="M243" s="482" t="s">
        <v>401</v>
      </c>
    </row>
    <row r="244" spans="1:13" ht="18" customHeight="1" thickBot="1">
      <c r="A244" s="62"/>
      <c r="B244" s="62"/>
      <c r="M244" s="520">
        <f>SUM(C239:M239)</f>
        <v>1657.274318354507</v>
      </c>
    </row>
    <row r="245" spans="1:2" ht="8.25" customHeight="1" thickBot="1">
      <c r="A245" s="62"/>
      <c r="B245" s="62"/>
    </row>
    <row r="246" spans="1:12" ht="13.5" thickBot="1">
      <c r="A246" s="62"/>
      <c r="B246" s="62"/>
      <c r="H246" s="561" t="s">
        <v>42</v>
      </c>
      <c r="K246" s="561" t="s">
        <v>42</v>
      </c>
      <c r="L246" s="380" t="s">
        <v>79</v>
      </c>
    </row>
    <row r="247" spans="1:13" ht="15.75" thickBot="1">
      <c r="A247" s="356" t="s">
        <v>316</v>
      </c>
      <c r="B247" s="357"/>
      <c r="C247" s="273">
        <v>2</v>
      </c>
      <c r="D247" s="697">
        <f>+C63</f>
        <v>2</v>
      </c>
      <c r="E247" s="698"/>
      <c r="F247" s="692">
        <v>1</v>
      </c>
      <c r="G247" s="693"/>
      <c r="H247" s="361">
        <v>2</v>
      </c>
      <c r="I247" s="729">
        <v>1</v>
      </c>
      <c r="J247" s="730"/>
      <c r="K247" s="361">
        <v>2</v>
      </c>
      <c r="L247" s="361">
        <v>1</v>
      </c>
      <c r="M247" s="358">
        <f>+I247</f>
        <v>1</v>
      </c>
    </row>
    <row r="248" spans="1:12" ht="12.75">
      <c r="A248" s="233"/>
      <c r="F248" s="694" t="s">
        <v>63</v>
      </c>
      <c r="G248" s="695"/>
      <c r="H248" s="380" t="s">
        <v>70</v>
      </c>
      <c r="I248" s="731" t="s">
        <v>63</v>
      </c>
      <c r="J248" s="695"/>
      <c r="K248" s="380" t="s">
        <v>70</v>
      </c>
      <c r="L248" s="380" t="s">
        <v>80</v>
      </c>
    </row>
    <row r="249" spans="1:12" ht="15" thickBot="1">
      <c r="A249" s="233"/>
      <c r="H249" s="361">
        <v>2</v>
      </c>
      <c r="K249" s="361">
        <v>2</v>
      </c>
      <c r="L249" s="361">
        <v>2</v>
      </c>
    </row>
    <row r="250" ht="12.75">
      <c r="A250" s="233"/>
    </row>
    <row r="251" spans="6:12" ht="12.75">
      <c r="F251" s="14"/>
      <c r="G251" s="14"/>
      <c r="H251" s="55"/>
      <c r="I251" s="14"/>
      <c r="J251" s="14"/>
      <c r="K251" s="55"/>
      <c r="L251" s="55"/>
    </row>
    <row r="252" spans="1:12" ht="12.75">
      <c r="A252" s="63" t="s">
        <v>428</v>
      </c>
      <c r="F252" s="14"/>
      <c r="G252" s="14"/>
      <c r="H252" s="560" t="s">
        <v>42</v>
      </c>
      <c r="I252" s="14"/>
      <c r="J252" s="14"/>
      <c r="K252" s="560" t="s">
        <v>42</v>
      </c>
      <c r="L252" s="379" t="s">
        <v>79</v>
      </c>
    </row>
    <row r="253" spans="1:12" ht="13.5" thickBot="1">
      <c r="A253" s="63" t="s">
        <v>220</v>
      </c>
      <c r="H253" s="369">
        <f>ROUND(G185/K210/H247*M210+SUM(B199:B204),2)</f>
        <v>27.02</v>
      </c>
      <c r="K253" s="369">
        <f>ROUND(H185/L210/K247*M210+SUM(E199:E204),2)</f>
        <v>177.29</v>
      </c>
      <c r="L253" s="369">
        <f>ROUND(J162/L247,2)</f>
        <v>459.1</v>
      </c>
    </row>
    <row r="254" spans="1:12" ht="12.75">
      <c r="A254" s="63"/>
      <c r="H254" s="379" t="s">
        <v>70</v>
      </c>
      <c r="K254" s="379" t="s">
        <v>70</v>
      </c>
      <c r="L254" s="379" t="s">
        <v>80</v>
      </c>
    </row>
    <row r="255" spans="1:12" ht="13.5" thickBot="1">
      <c r="A255" s="63"/>
      <c r="H255" s="364">
        <f>ROUND(+G185/L211/H249*M211,2)</f>
        <v>2.96</v>
      </c>
      <c r="K255" s="364">
        <f>ROUND(+H185/L211/K249*M211,2)</f>
        <v>35.16</v>
      </c>
      <c r="L255" s="364">
        <f>ROUND(K162*L170/L249,2)</f>
        <v>182.4</v>
      </c>
    </row>
    <row r="256" spans="1:13" ht="15.75" thickTop="1">
      <c r="A256" s="696" t="s">
        <v>275</v>
      </c>
      <c r="B256" s="696"/>
      <c r="C256" s="533">
        <f>+C239/C247*C240</f>
        <v>69.75</v>
      </c>
      <c r="D256" s="701"/>
      <c r="E256" s="702"/>
      <c r="F256" s="534">
        <f>+F239/F247</f>
        <v>68.3191011235955</v>
      </c>
      <c r="G256" s="533">
        <f>+G239/F247</f>
        <v>6.77191011235955</v>
      </c>
      <c r="H256" s="353">
        <f>+H253+H255</f>
        <v>29.98</v>
      </c>
      <c r="I256" s="534">
        <f>+I239/I247</f>
        <v>622.3035971223021</v>
      </c>
      <c r="J256" s="535">
        <f>+J239/I247</f>
        <v>6.205035971223021</v>
      </c>
      <c r="K256" s="536">
        <f>H185/L210/K247*M210+H185/L211/K249*M211+SUM(E199:E204)</f>
        <v>212.4465257290389</v>
      </c>
      <c r="L256" s="536">
        <f>L253+L255</f>
        <v>641.5</v>
      </c>
      <c r="M256" s="406" t="s">
        <v>18</v>
      </c>
    </row>
    <row r="257" spans="1:13" ht="15.75">
      <c r="A257" s="516" t="s">
        <v>351</v>
      </c>
      <c r="B257" s="62"/>
      <c r="M257" s="482" t="s">
        <v>401</v>
      </c>
    </row>
    <row r="258" spans="1:13" ht="16.5" thickBot="1">
      <c r="A258" s="517" t="s">
        <v>422</v>
      </c>
      <c r="B258" s="372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20">
        <f>SUM(C256:L256)</f>
        <v>1657.276170058519</v>
      </c>
    </row>
    <row r="259" spans="1:13" ht="12.75">
      <c r="A259" s="1"/>
      <c r="B259" s="6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6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6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ht="18">
      <c r="A262" s="509" t="s">
        <v>73</v>
      </c>
    </row>
    <row r="263" ht="18">
      <c r="A263" s="60"/>
    </row>
    <row r="264" ht="18.75" thickBot="1">
      <c r="A264" s="60"/>
    </row>
    <row r="265" spans="1:12" ht="15" customHeight="1" thickBot="1">
      <c r="A265" s="359"/>
      <c r="B265" s="359"/>
      <c r="C265" s="344" t="s">
        <v>414</v>
      </c>
      <c r="D265" s="699" t="s">
        <v>108</v>
      </c>
      <c r="E265" s="699"/>
      <c r="F265" s="712" t="s">
        <v>206</v>
      </c>
      <c r="G265" s="713"/>
      <c r="H265" s="714"/>
      <c r="I265" s="712" t="s">
        <v>111</v>
      </c>
      <c r="J265" s="713"/>
      <c r="K265" s="714"/>
      <c r="L265" s="19"/>
    </row>
    <row r="266" spans="1:13" ht="15" customHeight="1">
      <c r="A266" s="359"/>
      <c r="B266" s="359"/>
      <c r="C266" s="342" t="s">
        <v>47</v>
      </c>
      <c r="D266" s="700" t="s">
        <v>118</v>
      </c>
      <c r="E266" s="700"/>
      <c r="F266" s="218" t="s">
        <v>1</v>
      </c>
      <c r="G266" s="219" t="s">
        <v>49</v>
      </c>
      <c r="H266" s="220" t="s">
        <v>6</v>
      </c>
      <c r="I266" s="218" t="s">
        <v>1</v>
      </c>
      <c r="J266" s="219" t="s">
        <v>49</v>
      </c>
      <c r="K266" s="220" t="s">
        <v>6</v>
      </c>
      <c r="L266" s="78" t="s">
        <v>117</v>
      </c>
      <c r="M266" s="78" t="s">
        <v>7</v>
      </c>
    </row>
    <row r="267" spans="1:13" ht="15">
      <c r="A267" s="506" t="s">
        <v>141</v>
      </c>
      <c r="C267" s="514">
        <f>+C229</f>
        <v>6</v>
      </c>
      <c r="D267" s="718">
        <f>+D229</f>
        <v>23</v>
      </c>
      <c r="E267" s="719"/>
      <c r="F267" s="366"/>
      <c r="G267" s="360"/>
      <c r="H267" s="213" t="str">
        <f>CONCATENATE(H229,CONCATENATE(" h à ",CONCATENATE(H247," hom")))</f>
        <v>29.76 h à 2 hom</v>
      </c>
      <c r="I267" s="366"/>
      <c r="J267" s="360"/>
      <c r="K267" s="213" t="str">
        <f>CONCATENATE(K229,CONCATENATE(" h à ",CONCATENATE(K247," hom")))</f>
        <v>282.72 h à 2 hom</v>
      </c>
      <c r="L267" s="518" t="str">
        <f>CONCATENATE(COUNTIF(B151:B161,"&gt;0")*E45," h à ",L249," hom")</f>
        <v>13.02 h à 2 hom</v>
      </c>
      <c r="M267" s="519">
        <f>+M229</f>
        <v>2.4166666666666665</v>
      </c>
    </row>
    <row r="268" spans="1:13" ht="15">
      <c r="A268" s="24"/>
      <c r="C268" s="16" t="s">
        <v>12</v>
      </c>
      <c r="D268" s="708" t="s">
        <v>12</v>
      </c>
      <c r="E268" s="708"/>
      <c r="F268" s="16" t="s">
        <v>12</v>
      </c>
      <c r="G268" s="16" t="s">
        <v>12</v>
      </c>
      <c r="H268" s="16" t="s">
        <v>12</v>
      </c>
      <c r="I268" s="16" t="s">
        <v>12</v>
      </c>
      <c r="J268" s="16" t="s">
        <v>12</v>
      </c>
      <c r="K268" s="16" t="s">
        <v>12</v>
      </c>
      <c r="L268" s="16" t="s">
        <v>12</v>
      </c>
      <c r="M268" s="16" t="s">
        <v>12</v>
      </c>
    </row>
    <row r="269" spans="1:13" ht="15">
      <c r="A269" s="506" t="s">
        <v>142</v>
      </c>
      <c r="C269" s="514">
        <f>+C256</f>
        <v>69.75</v>
      </c>
      <c r="D269" s="677"/>
      <c r="E269" s="678"/>
      <c r="F269" s="521">
        <f>+F256</f>
        <v>68.3191011235955</v>
      </c>
      <c r="G269" s="513">
        <f>+G256</f>
        <v>6.77191011235955</v>
      </c>
      <c r="H269" s="562" t="s">
        <v>42</v>
      </c>
      <c r="I269" s="519">
        <f>+I256</f>
        <v>622.3035971223021</v>
      </c>
      <c r="J269" s="513">
        <f>+J256</f>
        <v>6.205035971223021</v>
      </c>
      <c r="K269" s="562" t="s">
        <v>42</v>
      </c>
      <c r="L269" s="377" t="s">
        <v>79</v>
      </c>
      <c r="M269" s="227"/>
    </row>
    <row r="270" spans="3:13" ht="12.75">
      <c r="C270" s="367"/>
      <c r="D270" s="367"/>
      <c r="E270" s="6"/>
      <c r="F270" s="367"/>
      <c r="G270" s="367"/>
      <c r="H270" s="374" t="str">
        <f>CONCATENATE(H253,CONCATENATE(" h à ",CONCATENATE(H247," hom")))</f>
        <v>27.02 h à 2 hom</v>
      </c>
      <c r="I270" s="367"/>
      <c r="J270" s="367"/>
      <c r="K270" s="374" t="str">
        <f>CONCATENATE(K253,CONCATENATE(" h à ",CONCATENATE(K247," hom")))</f>
        <v>177.29 h à 2 hom</v>
      </c>
      <c r="L270" s="374" t="str">
        <f>CONCATENATE(J162,CONCATENATE(" h à ",CONCATENATE(E169," hom")))</f>
        <v>459.1 h à 1 hom</v>
      </c>
      <c r="M270" s="18"/>
    </row>
    <row r="271" spans="3:13" ht="12.75">
      <c r="C271" s="367"/>
      <c r="D271" s="367"/>
      <c r="E271" s="6"/>
      <c r="F271" s="367"/>
      <c r="G271" s="367"/>
      <c r="H271" s="378" t="s">
        <v>70</v>
      </c>
      <c r="I271" s="367"/>
      <c r="J271" s="367"/>
      <c r="K271" s="378" t="s">
        <v>70</v>
      </c>
      <c r="L271" s="378" t="s">
        <v>80</v>
      </c>
      <c r="M271" s="18"/>
    </row>
    <row r="272" spans="3:13" ht="12.75">
      <c r="C272" s="368" t="s">
        <v>13</v>
      </c>
      <c r="D272" s="715" t="s">
        <v>13</v>
      </c>
      <c r="E272" s="715"/>
      <c r="F272" s="368" t="s">
        <v>13</v>
      </c>
      <c r="G272" s="368" t="s">
        <v>13</v>
      </c>
      <c r="H272" s="374" t="str">
        <f>CONCATENATE(H255,CONCATENATE(" h à ",CONCATENATE(H249," hom")))</f>
        <v>2.96 h à 2 hom</v>
      </c>
      <c r="I272" s="368" t="s">
        <v>13</v>
      </c>
      <c r="J272" s="368" t="s">
        <v>13</v>
      </c>
      <c r="K272" s="374" t="str">
        <f>CONCATENATE(K255,CONCATENATE(" h à ",CONCATENATE(K249," hom")))</f>
        <v>35.16 h à 2 hom</v>
      </c>
      <c r="L272" s="374" t="str">
        <f>CONCATENATE(K162,CONCATENATE(" h à ",CONCATENATE(L170," hom")))</f>
        <v>182.4 h à 2 hom</v>
      </c>
      <c r="M272" s="368" t="s">
        <v>13</v>
      </c>
    </row>
    <row r="273" spans="1:13" ht="12.75">
      <c r="A273" s="505" t="s">
        <v>72</v>
      </c>
      <c r="C273" s="514">
        <f>+C267+C269</f>
        <v>75.75</v>
      </c>
      <c r="D273" s="709">
        <f>+D267+D269</f>
        <v>23</v>
      </c>
      <c r="E273" s="709"/>
      <c r="F273" s="521">
        <f>+F267+F269</f>
        <v>68.3191011235955</v>
      </c>
      <c r="G273" s="514">
        <f>+G267+G269</f>
        <v>6.77191011235955</v>
      </c>
      <c r="I273" s="521">
        <f>+I267+I269</f>
        <v>622.3035971223021</v>
      </c>
      <c r="J273" s="514">
        <f>+J267+J269</f>
        <v>6.205035971223021</v>
      </c>
      <c r="M273" s="521">
        <f>+M267+M269</f>
        <v>2.4166666666666665</v>
      </c>
    </row>
    <row r="274" spans="1:13" ht="12.75">
      <c r="A274" s="371"/>
      <c r="C274" s="16" t="s">
        <v>69</v>
      </c>
      <c r="D274" s="708" t="s">
        <v>69</v>
      </c>
      <c r="E274" s="708"/>
      <c r="F274" s="16" t="s">
        <v>69</v>
      </c>
      <c r="G274" s="16" t="s">
        <v>69</v>
      </c>
      <c r="H274" s="16"/>
      <c r="I274" s="16" t="s">
        <v>69</v>
      </c>
      <c r="J274" s="16" t="s">
        <v>69</v>
      </c>
      <c r="K274" s="16"/>
      <c r="M274" s="16" t="s">
        <v>69</v>
      </c>
    </row>
    <row r="275" spans="1:13" ht="12.75">
      <c r="A275" s="504" t="s">
        <v>316</v>
      </c>
      <c r="C275" s="523">
        <f>+C247</f>
        <v>2</v>
      </c>
      <c r="D275" s="660">
        <f>+D247</f>
        <v>2</v>
      </c>
      <c r="E275" s="661"/>
      <c r="F275" s="525">
        <f>+F247</f>
        <v>1</v>
      </c>
      <c r="G275" s="523">
        <f>+F247</f>
        <v>1</v>
      </c>
      <c r="H275" s="1"/>
      <c r="I275" s="525">
        <f>+I247</f>
        <v>1</v>
      </c>
      <c r="J275" s="523">
        <f>+I247</f>
        <v>1</v>
      </c>
      <c r="K275" s="1"/>
      <c r="L275" s="1"/>
      <c r="M275" s="522">
        <f>+M247</f>
        <v>1</v>
      </c>
    </row>
    <row r="276" spans="3:13" ht="13.5" thickBot="1">
      <c r="C276" s="375" t="s">
        <v>13</v>
      </c>
      <c r="D276" s="662" t="s">
        <v>13</v>
      </c>
      <c r="E276" s="662"/>
      <c r="F276" s="375" t="s">
        <v>13</v>
      </c>
      <c r="G276" s="375" t="s">
        <v>13</v>
      </c>
      <c r="H276" s="373"/>
      <c r="I276" s="375" t="s">
        <v>13</v>
      </c>
      <c r="J276" s="375" t="s">
        <v>13</v>
      </c>
      <c r="K276" s="373"/>
      <c r="L276" s="393"/>
      <c r="M276" s="375" t="s">
        <v>13</v>
      </c>
    </row>
    <row r="277" spans="1:13" ht="17.25" thickBot="1" thickTop="1">
      <c r="A277" s="370" t="s">
        <v>74</v>
      </c>
      <c r="B277" s="370"/>
      <c r="C277" s="524">
        <f>C273*C275</f>
        <v>151.5</v>
      </c>
      <c r="D277" s="716">
        <f>+D273*D275</f>
        <v>46</v>
      </c>
      <c r="E277" s="717"/>
      <c r="F277" s="526">
        <f>F273*F275</f>
        <v>68.3191011235955</v>
      </c>
      <c r="G277" s="527">
        <f>G273*G275</f>
        <v>6.77191011235955</v>
      </c>
      <c r="H277" s="528">
        <f>+H229*H247+H253*H247+H255*H249</f>
        <v>119.48</v>
      </c>
      <c r="I277" s="529">
        <f>I273*I275</f>
        <v>622.3035971223021</v>
      </c>
      <c r="J277" s="527">
        <f>J273*J275</f>
        <v>6.205035971223021</v>
      </c>
      <c r="K277" s="528">
        <f>+K229*K247+K253*K247+K255*K249</f>
        <v>990.3399999999999</v>
      </c>
      <c r="L277" s="528">
        <f>+L229*L249+L255*L249+L253*L247</f>
        <v>849.94</v>
      </c>
      <c r="M277" s="530">
        <f>M273*M275</f>
        <v>2.4166666666666665</v>
      </c>
    </row>
    <row r="278" ht="13.5" thickBot="1">
      <c r="M278" s="237" t="s">
        <v>402</v>
      </c>
    </row>
    <row r="279" spans="4:13" ht="16.5" thickBot="1">
      <c r="D279" s="24"/>
      <c r="L279" s="532" t="s">
        <v>11</v>
      </c>
      <c r="M279" s="531">
        <f>SUM(C277:M277)</f>
        <v>2863.2763109961465</v>
      </c>
    </row>
    <row r="280" spans="1:13" ht="15">
      <c r="A280" s="64" t="s">
        <v>143</v>
      </c>
      <c r="B280" s="64"/>
      <c r="C280" s="317">
        <v>8</v>
      </c>
      <c r="D280" s="24" t="s">
        <v>4</v>
      </c>
      <c r="M280" s="10" t="s">
        <v>12</v>
      </c>
    </row>
    <row r="281" spans="1:13" ht="15.75">
      <c r="A281" s="64"/>
      <c r="B281" s="64"/>
      <c r="D281" s="24"/>
      <c r="H281" s="65" t="s">
        <v>403</v>
      </c>
      <c r="I281" s="318">
        <v>0.15</v>
      </c>
      <c r="J281" s="6" t="s">
        <v>75</v>
      </c>
      <c r="L281" s="66" t="s">
        <v>404</v>
      </c>
      <c r="M281" s="67">
        <f>+M279*I281</f>
        <v>429.49144664942196</v>
      </c>
    </row>
    <row r="282" spans="1:13" ht="15">
      <c r="A282" s="64"/>
      <c r="B282" s="64"/>
      <c r="D282" s="24"/>
      <c r="M282" s="10" t="s">
        <v>13</v>
      </c>
    </row>
    <row r="283" spans="12:13" ht="15.75">
      <c r="L283" s="66" t="s">
        <v>276</v>
      </c>
      <c r="M283" s="67">
        <f>+M281+M279</f>
        <v>3292.7677576455685</v>
      </c>
    </row>
    <row r="284" ht="12.75">
      <c r="M284" s="10" t="s">
        <v>14</v>
      </c>
    </row>
    <row r="285" spans="12:13" ht="15.75">
      <c r="L285" s="66" t="s">
        <v>277</v>
      </c>
      <c r="M285" s="67">
        <f>+M283/(C280-E22)*E22</f>
        <v>1194.8203277316968</v>
      </c>
    </row>
    <row r="286" ht="13.5" thickBot="1">
      <c r="M286" s="10" t="s">
        <v>15</v>
      </c>
    </row>
    <row r="287" spans="2:13" ht="17.25" thickBot="1" thickTop="1">
      <c r="B287" s="794" t="s">
        <v>144</v>
      </c>
      <c r="C287" s="795"/>
      <c r="D287" s="795"/>
      <c r="E287" s="795"/>
      <c r="F287" s="795"/>
      <c r="G287" s="796"/>
      <c r="L287" s="66" t="s">
        <v>278</v>
      </c>
      <c r="M287" s="67">
        <f>+M283+M285</f>
        <v>4487.588085377265</v>
      </c>
    </row>
    <row r="288" spans="2:7" ht="23.25" customHeight="1" thickBot="1">
      <c r="B288" s="664" t="s">
        <v>16</v>
      </c>
      <c r="C288" s="665"/>
      <c r="D288" s="665"/>
      <c r="E288" s="666"/>
      <c r="F288" s="574" t="s">
        <v>17</v>
      </c>
      <c r="G288" s="671" t="s">
        <v>18</v>
      </c>
    </row>
    <row r="289" spans="2:13" ht="22.5" customHeight="1" thickBot="1">
      <c r="B289" s="575" t="s">
        <v>19</v>
      </c>
      <c r="C289" s="576" t="s">
        <v>20</v>
      </c>
      <c r="D289" s="667" t="s">
        <v>429</v>
      </c>
      <c r="E289" s="668"/>
      <c r="F289" s="577" t="s">
        <v>21</v>
      </c>
      <c r="G289" s="672"/>
      <c r="L289" s="66" t="s">
        <v>279</v>
      </c>
      <c r="M289" s="365">
        <f>+M287/C280</f>
        <v>560.9485106721581</v>
      </c>
    </row>
    <row r="290" spans="2:11" ht="18.75" customHeight="1" thickBot="1">
      <c r="B290" s="69">
        <f>+M279</f>
        <v>2863.2763109961465</v>
      </c>
      <c r="C290" s="25">
        <f>M281</f>
        <v>429.49144664942196</v>
      </c>
      <c r="D290" s="797">
        <f>M283</f>
        <v>3292.7677576455685</v>
      </c>
      <c r="E290" s="798"/>
      <c r="F290" s="70">
        <f>M285</f>
        <v>1194.8203277316968</v>
      </c>
      <c r="G290" s="71">
        <f>+D290+F290</f>
        <v>4487.588085377265</v>
      </c>
      <c r="I290" s="710" t="s">
        <v>71</v>
      </c>
      <c r="J290" s="711"/>
      <c r="K290" s="68">
        <f>+L111+I126</f>
        <v>28810.079999999994</v>
      </c>
    </row>
    <row r="291" spans="2:12" ht="21" customHeight="1" thickBot="1" thickTop="1">
      <c r="B291" s="605">
        <f>+B290/$G$290</f>
        <v>0.6380434782608696</v>
      </c>
      <c r="C291" s="605">
        <f>+C290/$G$290</f>
        <v>0.09570652173913044</v>
      </c>
      <c r="D291" s="673">
        <f>+C291+B291</f>
        <v>0.73375</v>
      </c>
      <c r="E291" s="674"/>
      <c r="F291" s="605">
        <f>+F290/$G$290</f>
        <v>0.26625</v>
      </c>
      <c r="G291" s="606">
        <f>+F291+D291</f>
        <v>1</v>
      </c>
      <c r="I291" s="710" t="s">
        <v>76</v>
      </c>
      <c r="J291" s="711"/>
      <c r="K291" s="72">
        <f>+K290/M289</f>
        <v>51.35958016089255</v>
      </c>
      <c r="L291" s="6" t="s">
        <v>286</v>
      </c>
    </row>
    <row r="292" ht="21" customHeight="1"/>
    <row r="293" ht="21" customHeight="1"/>
    <row r="294" ht="21" customHeight="1">
      <c r="A294" s="28" t="s">
        <v>64</v>
      </c>
    </row>
    <row r="295" ht="21" customHeight="1" thickBot="1"/>
    <row r="296" spans="2:8" ht="21" customHeight="1" thickBot="1">
      <c r="B296" s="295"/>
      <c r="C296" s="669" t="s">
        <v>287</v>
      </c>
      <c r="D296" s="670"/>
      <c r="F296" s="295"/>
      <c r="G296" s="296"/>
      <c r="H296" s="305" t="s">
        <v>57</v>
      </c>
    </row>
    <row r="297" spans="3:8" ht="21" customHeight="1" thickBot="1">
      <c r="C297" s="187" t="str">
        <f>CONCATENATE(F104," mm")</f>
        <v>54 mm</v>
      </c>
      <c r="D297" s="188" t="str">
        <f>CONCATENATE(G104," mm")</f>
        <v>102 mm</v>
      </c>
      <c r="E297" s="303" t="s">
        <v>228</v>
      </c>
      <c r="F297" s="303" t="s">
        <v>289</v>
      </c>
      <c r="G297" s="306" t="s">
        <v>114</v>
      </c>
      <c r="H297" s="304" t="s">
        <v>288</v>
      </c>
    </row>
    <row r="298" spans="2:10" ht="21" customHeight="1" thickBot="1" thickTop="1">
      <c r="B298" s="65" t="s">
        <v>206</v>
      </c>
      <c r="C298" s="548">
        <f>+H111</f>
        <v>576</v>
      </c>
      <c r="D298" s="552">
        <f>+I111</f>
        <v>144</v>
      </c>
      <c r="E298" s="544">
        <f>+L111</f>
        <v>738.72</v>
      </c>
      <c r="F298" s="297">
        <f>+E298/(C298+D298)</f>
        <v>1.026</v>
      </c>
      <c r="G298" s="298">
        <f>+G185</f>
        <v>1332.3589948290978</v>
      </c>
      <c r="H298" s="299">
        <f>+G298/E298</f>
        <v>1.8036048771240765</v>
      </c>
      <c r="I298" s="446"/>
      <c r="J298" s="13"/>
    </row>
    <row r="299" spans="2:10" ht="21" customHeight="1" thickBot="1">
      <c r="B299" s="65" t="s">
        <v>111</v>
      </c>
      <c r="C299" s="549">
        <f>+H124</f>
        <v>8208</v>
      </c>
      <c r="D299" s="553"/>
      <c r="E299" s="545">
        <f>+I126</f>
        <v>28071.359999999993</v>
      </c>
      <c r="F299" s="396">
        <f>+I127</f>
        <v>3.419999999999999</v>
      </c>
      <c r="G299" s="397">
        <f>+H185</f>
        <v>15821.763063595537</v>
      </c>
      <c r="H299" s="396">
        <f>+G299/E299</f>
        <v>0.5636265241012741</v>
      </c>
      <c r="I299" s="407" t="s">
        <v>290</v>
      </c>
      <c r="J299" s="407" t="s">
        <v>88</v>
      </c>
    </row>
    <row r="300" spans="2:10" ht="21" customHeight="1" thickBot="1" thickTop="1">
      <c r="B300" s="65" t="s">
        <v>117</v>
      </c>
      <c r="C300" s="550">
        <f>+H162</f>
        <v>6840</v>
      </c>
      <c r="D300" s="554"/>
      <c r="E300" s="546"/>
      <c r="F300" s="389"/>
      <c r="G300" s="390"/>
      <c r="H300" s="389"/>
      <c r="I300" s="556">
        <f>+I162</f>
        <v>6840</v>
      </c>
      <c r="J300" s="556">
        <f>SUMPRODUCT(D151:D161,E151:E161)</f>
        <v>1368</v>
      </c>
    </row>
    <row r="301" spans="2:8" ht="21" customHeight="1" thickBot="1">
      <c r="B301" s="300" t="s">
        <v>18</v>
      </c>
      <c r="C301" s="551">
        <f>SUM(C298:C300)</f>
        <v>15624</v>
      </c>
      <c r="D301" s="555">
        <f>SUM(D298:D299)</f>
        <v>144</v>
      </c>
      <c r="E301" s="302">
        <f>SUM(E298:E299)</f>
        <v>28810.079999999994</v>
      </c>
      <c r="F301" s="301">
        <f>+E301/(C301+D301)</f>
        <v>1.8271232876712324</v>
      </c>
      <c r="G301" s="302">
        <f>SUM(G298:G299)</f>
        <v>17154.122058424637</v>
      </c>
      <c r="H301" s="301">
        <f>+G301/E301</f>
        <v>0.5954208408454486</v>
      </c>
    </row>
    <row r="302" spans="1:9" ht="15.75">
      <c r="A302" s="9"/>
      <c r="B302" s="9"/>
      <c r="I302" s="1"/>
    </row>
    <row r="303" spans="1:9" ht="15.75">
      <c r="A303" s="9"/>
      <c r="B303" s="9"/>
      <c r="I303" s="1"/>
    </row>
    <row r="304" spans="1:9" ht="20.25">
      <c r="A304" s="512" t="s">
        <v>213</v>
      </c>
      <c r="B304" s="9"/>
      <c r="I304" s="1"/>
    </row>
    <row r="305" spans="1:9" ht="20.25">
      <c r="A305" s="21"/>
      <c r="B305" s="9"/>
      <c r="G305" s="510"/>
      <c r="I305" s="1"/>
    </row>
    <row r="306" spans="1:9" ht="18">
      <c r="A306" s="511" t="s">
        <v>405</v>
      </c>
      <c r="I306" s="1"/>
    </row>
    <row r="307" spans="1:9" ht="16.5" customHeight="1" thickBot="1">
      <c r="A307" s="323"/>
      <c r="I307" s="1"/>
    </row>
    <row r="308" spans="2:10" ht="18" customHeight="1" thickBot="1">
      <c r="B308" s="305" t="s">
        <v>58</v>
      </c>
      <c r="C308" s="619" t="s">
        <v>206</v>
      </c>
      <c r="D308" s="663"/>
      <c r="E308" s="620"/>
      <c r="F308" s="619" t="s">
        <v>111</v>
      </c>
      <c r="G308" s="663"/>
      <c r="H308" s="620"/>
      <c r="I308" s="619" t="s">
        <v>117</v>
      </c>
      <c r="J308" s="620"/>
    </row>
    <row r="309" spans="1:11" ht="13.5" thickBot="1">
      <c r="A309" s="305" t="s">
        <v>291</v>
      </c>
      <c r="B309" s="338" t="s">
        <v>59</v>
      </c>
      <c r="C309" s="339" t="s">
        <v>1</v>
      </c>
      <c r="D309" s="340" t="s">
        <v>49</v>
      </c>
      <c r="E309" s="341" t="s">
        <v>6</v>
      </c>
      <c r="F309" s="339" t="s">
        <v>1</v>
      </c>
      <c r="G309" s="340" t="s">
        <v>49</v>
      </c>
      <c r="H309" s="341" t="s">
        <v>6</v>
      </c>
      <c r="I309" s="339" t="s">
        <v>1</v>
      </c>
      <c r="J309" s="395" t="s">
        <v>81</v>
      </c>
      <c r="K309" s="305" t="s">
        <v>7</v>
      </c>
    </row>
    <row r="310" spans="1:13" ht="13.5" thickBot="1">
      <c r="A310" s="331">
        <f>+C277/C280/C247*(1+I281)/(C280-E22)*C280</f>
        <v>14.840289608177171</v>
      </c>
      <c r="B310" s="331">
        <f>D277/C280/D247*(1+I281)/(C280-E22)*C280</f>
        <v>4.505962521294719</v>
      </c>
      <c r="C310" s="537">
        <f>F277/C280/F247*(1+I281)/(C280-E22)*C280</f>
        <v>13.384491702237618</v>
      </c>
      <c r="D310" s="538">
        <f>G277/C280/F247*(1+I281)/(C280-E22)*C280</f>
        <v>1.3266944853856015</v>
      </c>
      <c r="E310" s="539">
        <f>H277/C280/H247*(1+I281)/(C280-E22)*C280</f>
        <v>11.703747870528108</v>
      </c>
      <c r="F310" s="537">
        <f>I277/C280/I247*(1+I281)/(C280-E22)*C280</f>
        <v>121.91637763043397</v>
      </c>
      <c r="G310" s="538">
        <f>J277/C280/I247*(1+I281)/(C280-E22)*C280</f>
        <v>1.2156373708528916</v>
      </c>
      <c r="H310" s="539">
        <f>K277/C280/K247*(1+I281)/(C280-E22)*C280</f>
        <v>97.0094548551959</v>
      </c>
      <c r="I310" s="537">
        <f>L253/C280/L247*(1+I281)/(C280-E22)*C280</f>
        <v>89.94293015332198</v>
      </c>
      <c r="J310" s="540">
        <f>(L227+L255)/C280/M247*(1+I281)/(C280-E22)*C280</f>
        <v>36.15936967632027</v>
      </c>
      <c r="K310" s="331">
        <f>M277/C280/M247*(1+I281)/(C280-E22)*C280</f>
        <v>0.47345258375922766</v>
      </c>
      <c r="L310" s="541">
        <f>SUM(A310:K310)</f>
        <v>392.4784084575075</v>
      </c>
      <c r="M310" s="6" t="s">
        <v>61</v>
      </c>
    </row>
    <row r="311" spans="1:11" ht="14.25">
      <c r="A311" s="10" t="str">
        <f>CONCATENATE(" à ",C275," hommes")</f>
        <v> à 2 hommes</v>
      </c>
      <c r="B311" s="498" t="str">
        <f>CONCATENATE(" à ",D275," hommes")</f>
        <v> à 2 hommes</v>
      </c>
      <c r="C311" s="498" t="str">
        <f>CONCATENATE(" à ",F275," homme(s)")</f>
        <v> à 1 homme(s)</v>
      </c>
      <c r="D311" s="498" t="str">
        <f>CONCATENATE(" à ",F275," homme(s)")</f>
        <v> à 1 homme(s)</v>
      </c>
      <c r="E311" s="498" t="str">
        <f>CONCATENATE(" à ",H247," hommes")</f>
        <v> à 2 hommes</v>
      </c>
      <c r="F311" s="498" t="str">
        <f>CONCATENATE(" à ",I275," homme(s)")</f>
        <v> à 1 homme(s)</v>
      </c>
      <c r="G311" s="498" t="str">
        <f>CONCATENATE(" à ",J275," homme(s)")</f>
        <v> à 1 homme(s)</v>
      </c>
      <c r="H311" s="498" t="str">
        <f>CONCATENATE(" à ",K247," hommes")</f>
        <v> à 2 hommes</v>
      </c>
      <c r="I311" s="498" t="str">
        <f>CONCATENATE(" à ",E169," homme(s)")</f>
        <v> à 1 homme(s)</v>
      </c>
      <c r="J311" s="498" t="str">
        <f>CONCATENATE(" à ",L170," hommes")</f>
        <v> à 2 hommes</v>
      </c>
      <c r="K311" s="498" t="str">
        <f>CONCATENATE(" à ",M247," homme(s)")</f>
        <v> à 1 homme(s)</v>
      </c>
    </row>
    <row r="312" ht="12.75">
      <c r="A312" s="10"/>
    </row>
    <row r="313" ht="12.75">
      <c r="A313" s="10"/>
    </row>
    <row r="314" ht="12.75">
      <c r="A314" s="10"/>
    </row>
    <row r="315" ht="18.75" thickBot="1">
      <c r="A315" s="316" t="s">
        <v>60</v>
      </c>
    </row>
    <row r="316" spans="6:8" ht="19.5" customHeight="1">
      <c r="F316" s="305" t="s">
        <v>85</v>
      </c>
      <c r="G316" s="305" t="s">
        <v>58</v>
      </c>
      <c r="H316" s="305" t="s">
        <v>80</v>
      </c>
    </row>
    <row r="317" spans="6:8" ht="18" customHeight="1" thickBot="1">
      <c r="F317" s="338" t="s">
        <v>292</v>
      </c>
      <c r="G317" s="338" t="s">
        <v>59</v>
      </c>
      <c r="H317" s="338" t="s">
        <v>146</v>
      </c>
    </row>
    <row r="318" spans="6:8" ht="20.25" customHeight="1" thickBot="1">
      <c r="F318" s="428" t="str">
        <f>CONCATENATE(ROUND(1/(A310*C275/SUM(B118:B123)),1)," m/q-h")</f>
        <v>18.8 m/q-h</v>
      </c>
      <c r="G318" s="428" t="str">
        <f>CONCATENATE(ROUND(B310*D275,1)," q-h/sous-niv")</f>
        <v>9 q-h/sous-niv</v>
      </c>
      <c r="H318" s="428" t="str">
        <f>CONCATENATE(ROUND(I300/J310/L249,1)," m/q-h")</f>
        <v>94.6 m/q-h</v>
      </c>
    </row>
    <row r="319" ht="20.25" customHeight="1" thickBot="1">
      <c r="F319" s="10"/>
    </row>
    <row r="320" spans="3:9" ht="21.75" customHeight="1" thickBot="1">
      <c r="C320" s="24"/>
      <c r="D320" s="24"/>
      <c r="E320" s="559" t="s">
        <v>214</v>
      </c>
      <c r="F320" s="791" t="s">
        <v>84</v>
      </c>
      <c r="G320" s="792"/>
      <c r="H320" s="792"/>
      <c r="I320" s="793"/>
    </row>
    <row r="321" spans="3:9" ht="15.75" thickTop="1">
      <c r="C321" s="326"/>
      <c r="D321" s="327" t="s">
        <v>218</v>
      </c>
      <c r="E321" s="324">
        <f>ROUND(+C298/C310/F247,1)</f>
        <v>43</v>
      </c>
      <c r="F321" s="444">
        <f>L111/E310</f>
        <v>63.118242820337414</v>
      </c>
      <c r="G321" s="423" t="s">
        <v>270</v>
      </c>
      <c r="H321" s="426">
        <f>+E216</f>
        <v>3.075937759275702</v>
      </c>
      <c r="I321" s="422" t="s">
        <v>272</v>
      </c>
    </row>
    <row r="322" spans="3:11" ht="15.75" thickBot="1">
      <c r="C322" s="328"/>
      <c r="D322" s="394" t="s">
        <v>219</v>
      </c>
      <c r="E322" s="325">
        <f>ROUND(+C299/F310/I247,1)</f>
        <v>67.3</v>
      </c>
      <c r="F322" s="445">
        <f>ROUND(I126/H310,1)</f>
        <v>289.4</v>
      </c>
      <c r="G322" s="424" t="s">
        <v>270</v>
      </c>
      <c r="H322" s="427">
        <f>+E212</f>
        <v>4.7</v>
      </c>
      <c r="I322" s="425" t="s">
        <v>269</v>
      </c>
      <c r="K322" s="421"/>
    </row>
    <row r="323" spans="3:5" ht="15.75" thickBot="1">
      <c r="C323" s="328"/>
      <c r="D323" s="329" t="s">
        <v>117</v>
      </c>
      <c r="E323" s="325">
        <f>+C300/I310/L247</f>
        <v>76.04822289356302</v>
      </c>
    </row>
    <row r="324" spans="5:6" ht="12.75">
      <c r="E324" s="59" t="s">
        <v>62</v>
      </c>
      <c r="F324" s="330"/>
    </row>
    <row r="326" ht="18">
      <c r="A326" s="316"/>
    </row>
  </sheetData>
  <mergeCells count="119">
    <mergeCell ref="L184:M185"/>
    <mergeCell ref="D37:D38"/>
    <mergeCell ref="E37:E38"/>
    <mergeCell ref="F240:G240"/>
    <mergeCell ref="G54:H54"/>
    <mergeCell ref="G55:H55"/>
    <mergeCell ref="G56:H56"/>
    <mergeCell ref="J98:K98"/>
    <mergeCell ref="L163:L164"/>
    <mergeCell ref="G177:H177"/>
    <mergeCell ref="F320:I320"/>
    <mergeCell ref="G132:H132"/>
    <mergeCell ref="I291:J291"/>
    <mergeCell ref="B287:G287"/>
    <mergeCell ref="D290:E290"/>
    <mergeCell ref="A239:B239"/>
    <mergeCell ref="D237:E237"/>
    <mergeCell ref="D238:E238"/>
    <mergeCell ref="D239:E239"/>
    <mergeCell ref="I163:K163"/>
    <mergeCell ref="C51:C52"/>
    <mergeCell ref="D51:D52"/>
    <mergeCell ref="E51:E52"/>
    <mergeCell ref="D28:D29"/>
    <mergeCell ref="C28:C29"/>
    <mergeCell ref="E28:E29"/>
    <mergeCell ref="C37:C38"/>
    <mergeCell ref="K28:K29"/>
    <mergeCell ref="L28:L29"/>
    <mergeCell ref="J28:J29"/>
    <mergeCell ref="J51:J52"/>
    <mergeCell ref="K51:K52"/>
    <mergeCell ref="I51:I52"/>
    <mergeCell ref="I177:J177"/>
    <mergeCell ref="I164:K164"/>
    <mergeCell ref="F101:I101"/>
    <mergeCell ref="J101:L101"/>
    <mergeCell ref="D176:F176"/>
    <mergeCell ref="B103:E103"/>
    <mergeCell ref="E131:H131"/>
    <mergeCell ref="B168:D168"/>
    <mergeCell ref="G57:H57"/>
    <mergeCell ref="C10:C11"/>
    <mergeCell ref="D10:D11"/>
    <mergeCell ref="E10:E11"/>
    <mergeCell ref="H10:K11"/>
    <mergeCell ref="A59:B59"/>
    <mergeCell ref="A61:B61"/>
    <mergeCell ref="E132:F132"/>
    <mergeCell ref="A60:B60"/>
    <mergeCell ref="E87:G87"/>
    <mergeCell ref="D224:E224"/>
    <mergeCell ref="F224:H224"/>
    <mergeCell ref="A224:B224"/>
    <mergeCell ref="H102:I102"/>
    <mergeCell ref="F102:G102"/>
    <mergeCell ref="B170:D170"/>
    <mergeCell ref="B197:D197"/>
    <mergeCell ref="B132:C132"/>
    <mergeCell ref="B177:C177"/>
    <mergeCell ref="B144:C144"/>
    <mergeCell ref="F236:H236"/>
    <mergeCell ref="I236:K236"/>
    <mergeCell ref="D229:E229"/>
    <mergeCell ref="G53:H53"/>
    <mergeCell ref="G58:H58"/>
    <mergeCell ref="J131:K131"/>
    <mergeCell ref="I224:K224"/>
    <mergeCell ref="I170:K170"/>
    <mergeCell ref="B169:D169"/>
    <mergeCell ref="A236:B236"/>
    <mergeCell ref="I247:J247"/>
    <mergeCell ref="I241:J241"/>
    <mergeCell ref="I248:J248"/>
    <mergeCell ref="I198:K198"/>
    <mergeCell ref="L197:M197"/>
    <mergeCell ref="M211:M212"/>
    <mergeCell ref="I197:K197"/>
    <mergeCell ref="L211:L212"/>
    <mergeCell ref="D274:E274"/>
    <mergeCell ref="D273:E273"/>
    <mergeCell ref="I290:J290"/>
    <mergeCell ref="F265:H265"/>
    <mergeCell ref="D272:E272"/>
    <mergeCell ref="D268:E268"/>
    <mergeCell ref="D277:E277"/>
    <mergeCell ref="D267:E267"/>
    <mergeCell ref="I265:K265"/>
    <mergeCell ref="D225:E225"/>
    <mergeCell ref="D227:E227"/>
    <mergeCell ref="D226:E226"/>
    <mergeCell ref="D240:E240"/>
    <mergeCell ref="D236:E236"/>
    <mergeCell ref="D228:E228"/>
    <mergeCell ref="D247:E247"/>
    <mergeCell ref="F248:G248"/>
    <mergeCell ref="D265:E265"/>
    <mergeCell ref="D266:E266"/>
    <mergeCell ref="D256:E256"/>
    <mergeCell ref="A225:B225"/>
    <mergeCell ref="D269:E269"/>
    <mergeCell ref="E197:G197"/>
    <mergeCell ref="H211:K212"/>
    <mergeCell ref="A228:B228"/>
    <mergeCell ref="A227:B227"/>
    <mergeCell ref="A237:B237"/>
    <mergeCell ref="F247:G247"/>
    <mergeCell ref="F241:G241"/>
    <mergeCell ref="A256:B256"/>
    <mergeCell ref="I308:J308"/>
    <mergeCell ref="D275:E275"/>
    <mergeCell ref="D276:E276"/>
    <mergeCell ref="C308:E308"/>
    <mergeCell ref="F308:H308"/>
    <mergeCell ref="B288:E288"/>
    <mergeCell ref="D289:E289"/>
    <mergeCell ref="C296:D296"/>
    <mergeCell ref="G288:G289"/>
    <mergeCell ref="D291:E291"/>
  </mergeCells>
  <printOptions/>
  <pageMargins left="0.75" right="0.75" top="1" bottom="1" header="0.5" footer="0.5"/>
  <pageSetup cellComments="asDisplayed" fitToHeight="4" fitToWidth="2" horizontalDpi="600" verticalDpi="600" orientation="landscape" scale="55" r:id="rId4"/>
  <headerFooter alignWithMargins="0">
    <oddFooter>&amp;LFichier : &amp;F
Onglet : &amp;A
Page &amp;P de &amp;N&amp;CMine-laboratoire
Val-d'Or&amp;R&amp;D
&amp;T</oddFooter>
  </headerFooter>
  <rowBreaks count="7" manualBreakCount="7">
    <brk id="46" max="12" man="1"/>
    <brk id="95" max="12" man="1"/>
    <brk id="145" max="12" man="1"/>
    <brk id="192" max="12" man="1"/>
    <brk id="217" max="12" man="1"/>
    <brk id="258" max="12" man="1"/>
    <brk id="292" max="12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94"/>
  <sheetViews>
    <sheetView zoomScale="50" zoomScaleNormal="50" workbookViewId="0" topLeftCell="D1">
      <selection activeCell="O4" sqref="O4"/>
    </sheetView>
  </sheetViews>
  <sheetFormatPr defaultColWidth="9.140625" defaultRowHeight="12.75"/>
  <cols>
    <col min="1" max="1" width="16.57421875" style="140" customWidth="1"/>
    <col min="2" max="2" width="17.140625" style="140" customWidth="1"/>
    <col min="3" max="3" width="21.57421875" style="140" customWidth="1"/>
    <col min="4" max="4" width="16.140625" style="140" customWidth="1"/>
    <col min="5" max="5" width="14.8515625" style="140" customWidth="1"/>
    <col min="6" max="6" width="16.8515625" style="140" customWidth="1"/>
    <col min="7" max="7" width="11.57421875" style="140" bestFit="1" customWidth="1"/>
    <col min="8" max="8" width="13.140625" style="140" customWidth="1"/>
    <col min="9" max="9" width="16.8515625" style="140" customWidth="1"/>
    <col min="10" max="12" width="13.7109375" style="140" customWidth="1"/>
    <col min="13" max="13" width="14.421875" style="140" customWidth="1"/>
    <col min="14" max="14" width="16.28125" style="140" customWidth="1"/>
    <col min="15" max="15" width="12.57421875" style="140" customWidth="1"/>
    <col min="16" max="16" width="12.140625" style="140" customWidth="1"/>
    <col min="17" max="17" width="14.00390625" style="140" customWidth="1"/>
    <col min="18" max="18" width="8.57421875" style="140" customWidth="1"/>
    <col min="19" max="19" width="5.00390625" style="140" customWidth="1"/>
    <col min="20" max="20" width="6.00390625" style="140" customWidth="1"/>
    <col min="21" max="16384" width="9.140625" style="140" customWidth="1"/>
  </cols>
  <sheetData>
    <row r="1" ht="18"/>
    <row r="2" ht="31.5">
      <c r="A2" s="285" t="s">
        <v>111</v>
      </c>
    </row>
    <row r="3" spans="1:15" ht="31.5">
      <c r="A3" s="286" t="s">
        <v>293</v>
      </c>
      <c r="O3" s="381" t="s">
        <v>434</v>
      </c>
    </row>
    <row r="4" ht="22.5">
      <c r="A4" s="139"/>
    </row>
    <row r="5" spans="1:19" ht="18">
      <c r="A5" s="141"/>
      <c r="B5" s="142"/>
      <c r="C5" s="142"/>
      <c r="D5" s="142"/>
      <c r="E5" s="142"/>
      <c r="F5" s="142"/>
      <c r="G5" s="142"/>
      <c r="H5" s="143"/>
      <c r="J5" s="156"/>
      <c r="K5" s="157"/>
      <c r="L5" s="157"/>
      <c r="M5" s="157"/>
      <c r="N5" s="157"/>
      <c r="O5" s="157"/>
      <c r="P5" s="157"/>
      <c r="Q5" s="157"/>
      <c r="R5" s="157"/>
      <c r="S5" s="143"/>
    </row>
    <row r="6" spans="1:21" ht="23.25">
      <c r="A6" s="116" t="s">
        <v>65</v>
      </c>
      <c r="B6" s="146"/>
      <c r="C6" s="146"/>
      <c r="D6" s="146"/>
      <c r="E6" s="146"/>
      <c r="F6" s="146"/>
      <c r="G6" s="146"/>
      <c r="H6" s="147"/>
      <c r="J6" s="148"/>
      <c r="K6" s="115" t="s">
        <v>317</v>
      </c>
      <c r="L6" s="146"/>
      <c r="M6" s="146"/>
      <c r="N6" s="146"/>
      <c r="O6" s="146"/>
      <c r="P6" s="146"/>
      <c r="Q6" s="146"/>
      <c r="S6" s="149"/>
      <c r="U6" s="76"/>
    </row>
    <row r="7" spans="1:21" ht="20.25">
      <c r="A7" s="148"/>
      <c r="B7" s="146"/>
      <c r="C7" s="146"/>
      <c r="D7" s="146"/>
      <c r="E7" s="146"/>
      <c r="F7" s="146"/>
      <c r="G7" s="322" t="s">
        <v>2</v>
      </c>
      <c r="H7" s="147"/>
      <c r="J7" s="148"/>
      <c r="K7" s="146"/>
      <c r="L7" s="146"/>
      <c r="M7" s="146"/>
      <c r="N7" s="146"/>
      <c r="O7" s="146"/>
      <c r="P7" s="322" t="s">
        <v>2</v>
      </c>
      <c r="Q7" s="146"/>
      <c r="S7" s="149"/>
      <c r="U7" s="76"/>
    </row>
    <row r="8" spans="1:21" ht="18">
      <c r="A8" s="148"/>
      <c r="B8" s="833" t="s">
        <v>325</v>
      </c>
      <c r="C8" s="833"/>
      <c r="D8" s="833"/>
      <c r="E8" s="833"/>
      <c r="F8" s="833"/>
      <c r="G8" s="150">
        <v>0.4</v>
      </c>
      <c r="H8" s="147"/>
      <c r="J8" s="148"/>
      <c r="K8" s="146"/>
      <c r="L8" s="822" t="s">
        <v>371</v>
      </c>
      <c r="M8" s="823"/>
      <c r="N8" s="823"/>
      <c r="O8" s="824"/>
      <c r="P8" s="150">
        <v>0.5</v>
      </c>
      <c r="Q8" s="146"/>
      <c r="S8" s="149"/>
      <c r="U8" s="76"/>
    </row>
    <row r="9" spans="1:19" ht="18">
      <c r="A9" s="148"/>
      <c r="B9" s="834" t="s">
        <v>372</v>
      </c>
      <c r="C9" s="834"/>
      <c r="D9" s="834"/>
      <c r="E9" s="834"/>
      <c r="F9" s="834"/>
      <c r="G9" s="271">
        <v>1.5</v>
      </c>
      <c r="H9" s="147"/>
      <c r="J9" s="148"/>
      <c r="K9" s="146"/>
      <c r="L9" s="822" t="s">
        <v>298</v>
      </c>
      <c r="M9" s="823"/>
      <c r="N9" s="823"/>
      <c r="O9" s="824"/>
      <c r="P9" s="150">
        <v>0.4</v>
      </c>
      <c r="Q9" s="146"/>
      <c r="S9" s="149"/>
    </row>
    <row r="10" spans="1:19" ht="18">
      <c r="A10" s="148"/>
      <c r="B10" s="833" t="s">
        <v>326</v>
      </c>
      <c r="C10" s="833"/>
      <c r="D10" s="833"/>
      <c r="E10" s="833"/>
      <c r="F10" s="833"/>
      <c r="G10" s="150">
        <v>0.4</v>
      </c>
      <c r="H10" s="147"/>
      <c r="J10" s="148"/>
      <c r="K10" s="146"/>
      <c r="L10" s="836"/>
      <c r="M10" s="837"/>
      <c r="N10" s="837"/>
      <c r="O10" s="838"/>
      <c r="P10" s="150"/>
      <c r="Q10" s="146"/>
      <c r="S10" s="149"/>
    </row>
    <row r="11" spans="1:19" ht="18">
      <c r="A11" s="148"/>
      <c r="B11" s="833" t="s">
        <v>423</v>
      </c>
      <c r="C11" s="833"/>
      <c r="D11" s="833"/>
      <c r="E11" s="833"/>
      <c r="F11" s="833"/>
      <c r="G11" s="150">
        <v>0.5</v>
      </c>
      <c r="H11" s="147"/>
      <c r="J11" s="148"/>
      <c r="K11" s="146"/>
      <c r="L11" s="836"/>
      <c r="M11" s="837"/>
      <c r="N11" s="837"/>
      <c r="O11" s="838"/>
      <c r="P11" s="150"/>
      <c r="Q11" s="146"/>
      <c r="S11" s="149"/>
    </row>
    <row r="12" spans="1:19" ht="20.25">
      <c r="A12" s="148"/>
      <c r="B12" s="833" t="s">
        <v>330</v>
      </c>
      <c r="C12" s="833"/>
      <c r="D12" s="833"/>
      <c r="E12" s="833"/>
      <c r="F12" s="833"/>
      <c r="G12" s="150">
        <v>1.4</v>
      </c>
      <c r="H12" s="147"/>
      <c r="J12" s="148"/>
      <c r="K12" s="146"/>
      <c r="L12" s="146"/>
      <c r="M12" s="146"/>
      <c r="N12" s="146"/>
      <c r="O12" s="146"/>
      <c r="P12" s="123">
        <f>SUM(P8:P11)</f>
        <v>0.9</v>
      </c>
      <c r="Q12" s="120" t="s">
        <v>318</v>
      </c>
      <c r="S12" s="149"/>
    </row>
    <row r="13" spans="1:19" ht="20.25">
      <c r="A13" s="148"/>
      <c r="B13" s="833" t="s">
        <v>331</v>
      </c>
      <c r="C13" s="833"/>
      <c r="D13" s="833"/>
      <c r="E13" s="833"/>
      <c r="F13" s="833"/>
      <c r="G13" s="151">
        <v>0.7</v>
      </c>
      <c r="H13" s="147"/>
      <c r="J13" s="153"/>
      <c r="K13" s="154"/>
      <c r="L13" s="154"/>
      <c r="M13" s="154"/>
      <c r="N13" s="154"/>
      <c r="O13" s="154"/>
      <c r="P13" s="124"/>
      <c r="Q13" s="126"/>
      <c r="R13" s="154"/>
      <c r="S13" s="155"/>
    </row>
    <row r="14" spans="1:21" ht="18">
      <c r="A14" s="148"/>
      <c r="B14" s="835"/>
      <c r="C14" s="835"/>
      <c r="D14" s="835"/>
      <c r="E14" s="835"/>
      <c r="F14" s="835"/>
      <c r="G14" s="151"/>
      <c r="H14" s="147"/>
      <c r="J14" s="156"/>
      <c r="K14" s="157"/>
      <c r="L14" s="157"/>
      <c r="M14" s="157"/>
      <c r="N14" s="157"/>
      <c r="O14" s="157"/>
      <c r="P14" s="157"/>
      <c r="Q14" s="157"/>
      <c r="R14" s="157"/>
      <c r="S14" s="159"/>
      <c r="U14" s="76"/>
    </row>
    <row r="15" spans="1:21" ht="23.25">
      <c r="A15" s="148"/>
      <c r="B15" s="835"/>
      <c r="C15" s="835"/>
      <c r="D15" s="835"/>
      <c r="E15" s="835"/>
      <c r="F15" s="835"/>
      <c r="G15" s="151"/>
      <c r="H15" s="147"/>
      <c r="J15" s="117"/>
      <c r="K15" s="99" t="s">
        <v>377</v>
      </c>
      <c r="L15" s="146"/>
      <c r="M15" s="146"/>
      <c r="N15" s="146"/>
      <c r="O15" s="146"/>
      <c r="P15" s="146"/>
      <c r="Q15" s="146"/>
      <c r="S15" s="147"/>
      <c r="U15" s="76"/>
    </row>
    <row r="16" spans="1:21" ht="23.25">
      <c r="A16" s="148"/>
      <c r="B16" s="146"/>
      <c r="C16" s="146"/>
      <c r="D16" s="76"/>
      <c r="E16" s="146"/>
      <c r="F16" s="122" t="s">
        <v>373</v>
      </c>
      <c r="G16" s="152">
        <f>SUM(G8:G13)</f>
        <v>4.8999999999999995</v>
      </c>
      <c r="H16" s="571" t="s">
        <v>374</v>
      </c>
      <c r="J16" s="127"/>
      <c r="K16" s="288"/>
      <c r="L16" s="146"/>
      <c r="M16" s="146"/>
      <c r="N16" s="146"/>
      <c r="O16" s="146"/>
      <c r="P16" s="146"/>
      <c r="Q16" s="322" t="s">
        <v>2</v>
      </c>
      <c r="S16" s="147"/>
      <c r="U16" s="76"/>
    </row>
    <row r="17" spans="1:21" ht="18">
      <c r="A17" s="148"/>
      <c r="B17" s="146"/>
      <c r="C17" s="146"/>
      <c r="D17" s="146"/>
      <c r="E17" s="146"/>
      <c r="F17" s="146"/>
      <c r="G17" s="146"/>
      <c r="H17" s="147"/>
      <c r="J17" s="148"/>
      <c r="K17" s="833" t="s">
        <v>323</v>
      </c>
      <c r="L17" s="833"/>
      <c r="M17" s="833"/>
      <c r="N17" s="833"/>
      <c r="O17" s="833"/>
      <c r="P17" s="833"/>
      <c r="Q17" s="150">
        <v>0.7</v>
      </c>
      <c r="S17" s="147"/>
      <c r="U17" s="76"/>
    </row>
    <row r="18" spans="1:21" ht="20.25" customHeight="1">
      <c r="A18" s="148"/>
      <c r="G18" s="146"/>
      <c r="H18" s="147"/>
      <c r="J18" s="148"/>
      <c r="K18" s="833" t="s">
        <v>324</v>
      </c>
      <c r="L18" s="833"/>
      <c r="M18" s="833"/>
      <c r="N18" s="833"/>
      <c r="O18" s="833"/>
      <c r="P18" s="833"/>
      <c r="Q18" s="150">
        <v>0.8</v>
      </c>
      <c r="S18" s="147"/>
      <c r="U18" s="76"/>
    </row>
    <row r="19" spans="1:21" ht="20.25">
      <c r="A19" s="148"/>
      <c r="C19" s="863" t="s">
        <v>148</v>
      </c>
      <c r="D19" s="864"/>
      <c r="E19" s="865"/>
      <c r="F19" s="125">
        <v>1.2</v>
      </c>
      <c r="G19" s="118"/>
      <c r="H19" s="147"/>
      <c r="J19" s="148"/>
      <c r="K19" s="835"/>
      <c r="L19" s="835"/>
      <c r="M19" s="835"/>
      <c r="N19" s="835"/>
      <c r="O19" s="835"/>
      <c r="P19" s="835"/>
      <c r="Q19" s="151"/>
      <c r="S19" s="147"/>
      <c r="U19" s="76"/>
    </row>
    <row r="20" spans="1:21" ht="20.25">
      <c r="A20" s="148"/>
      <c r="B20" s="122"/>
      <c r="C20" s="866" t="s">
        <v>295</v>
      </c>
      <c r="D20" s="867"/>
      <c r="E20" s="868"/>
      <c r="F20" s="123">
        <f>+G16/F19</f>
        <v>4.083333333333333</v>
      </c>
      <c r="G20" s="120" t="s">
        <v>294</v>
      </c>
      <c r="H20" s="147"/>
      <c r="J20" s="148"/>
      <c r="K20" s="77"/>
      <c r="L20" s="146"/>
      <c r="M20" s="146"/>
      <c r="N20" s="76"/>
      <c r="O20" s="76"/>
      <c r="P20" s="122" t="s">
        <v>378</v>
      </c>
      <c r="Q20" s="123">
        <f>SUM(Q17:Q19)</f>
        <v>1.5</v>
      </c>
      <c r="R20" s="21" t="s">
        <v>2</v>
      </c>
      <c r="S20" s="147"/>
      <c r="U20" s="76"/>
    </row>
    <row r="21" spans="1:21" ht="18">
      <c r="A21" s="148"/>
      <c r="B21" s="146"/>
      <c r="C21" s="146"/>
      <c r="D21" s="146"/>
      <c r="E21" s="146"/>
      <c r="F21" s="146"/>
      <c r="G21" s="146"/>
      <c r="H21" s="147"/>
      <c r="J21" s="153"/>
      <c r="K21" s="228"/>
      <c r="L21" s="228"/>
      <c r="M21" s="228"/>
      <c r="N21" s="228"/>
      <c r="O21" s="228"/>
      <c r="P21" s="228"/>
      <c r="Q21" s="228"/>
      <c r="R21" s="228"/>
      <c r="S21" s="158"/>
      <c r="U21" s="76"/>
    </row>
    <row r="22" spans="1:21" ht="20.25">
      <c r="A22" s="148"/>
      <c r="B22" s="122"/>
      <c r="C22" s="15"/>
      <c r="D22" s="15"/>
      <c r="E22"/>
      <c r="F22"/>
      <c r="G22" s="146"/>
      <c r="H22" s="147"/>
      <c r="J22" s="156"/>
      <c r="K22" s="157"/>
      <c r="L22" s="157"/>
      <c r="M22" s="157"/>
      <c r="N22" s="157"/>
      <c r="O22" s="157"/>
      <c r="P22" s="157"/>
      <c r="Q22" s="157"/>
      <c r="R22" s="157"/>
      <c r="S22" s="159"/>
      <c r="U22" s="76"/>
    </row>
    <row r="23" spans="1:21" ht="23.25">
      <c r="A23" s="148"/>
      <c r="B23" s="146"/>
      <c r="C23" s="146"/>
      <c r="D23" s="146"/>
      <c r="E23" s="146"/>
      <c r="F23" s="146"/>
      <c r="G23" s="146"/>
      <c r="H23" s="147"/>
      <c r="J23" s="117"/>
      <c r="K23" s="99" t="s">
        <v>379</v>
      </c>
      <c r="L23" s="146"/>
      <c r="M23" s="146"/>
      <c r="N23" s="146"/>
      <c r="O23" s="146"/>
      <c r="P23" s="146"/>
      <c r="Q23" s="146"/>
      <c r="S23" s="147"/>
      <c r="U23" s="76"/>
    </row>
    <row r="24" spans="1:21" ht="23.25">
      <c r="A24" s="153"/>
      <c r="B24" s="154"/>
      <c r="C24" s="154"/>
      <c r="D24" s="154"/>
      <c r="E24" s="154"/>
      <c r="F24" s="154"/>
      <c r="G24" s="154"/>
      <c r="H24" s="158"/>
      <c r="J24" s="127"/>
      <c r="K24" s="288" t="s">
        <v>319</v>
      </c>
      <c r="L24" s="146"/>
      <c r="M24" s="146"/>
      <c r="N24" s="146"/>
      <c r="O24" s="146"/>
      <c r="P24" s="146"/>
      <c r="Q24" s="322" t="s">
        <v>2</v>
      </c>
      <c r="S24" s="147"/>
      <c r="U24" s="76"/>
    </row>
    <row r="25" spans="1:22" ht="18">
      <c r="A25" s="141"/>
      <c r="B25" s="142"/>
      <c r="C25" s="142"/>
      <c r="D25" s="142"/>
      <c r="E25" s="142"/>
      <c r="F25" s="142"/>
      <c r="G25" s="142"/>
      <c r="H25" s="143"/>
      <c r="J25" s="148"/>
      <c r="K25" s="833" t="s">
        <v>433</v>
      </c>
      <c r="L25" s="833"/>
      <c r="M25" s="833"/>
      <c r="N25" s="833"/>
      <c r="O25" s="833"/>
      <c r="P25" s="833"/>
      <c r="Q25" s="150">
        <v>1</v>
      </c>
      <c r="S25" s="147"/>
      <c r="U25" s="76"/>
      <c r="V25" s="76"/>
    </row>
    <row r="26" spans="1:21" ht="23.25">
      <c r="A26" s="116" t="s">
        <v>296</v>
      </c>
      <c r="B26" s="144"/>
      <c r="C26" s="146"/>
      <c r="D26" s="146"/>
      <c r="E26" s="146"/>
      <c r="F26" s="146"/>
      <c r="G26" s="146"/>
      <c r="H26" s="149"/>
      <c r="J26" s="148"/>
      <c r="K26" s="833" t="s">
        <v>334</v>
      </c>
      <c r="L26" s="833"/>
      <c r="M26" s="833"/>
      <c r="N26" s="833"/>
      <c r="O26" s="833"/>
      <c r="P26" s="833"/>
      <c r="Q26" s="150">
        <v>0.5</v>
      </c>
      <c r="S26" s="147"/>
      <c r="U26" s="76"/>
    </row>
    <row r="27" spans="1:21" ht="20.25">
      <c r="A27" s="148"/>
      <c r="B27" s="146"/>
      <c r="C27" s="146"/>
      <c r="D27" s="146"/>
      <c r="E27" s="146"/>
      <c r="F27" s="146"/>
      <c r="G27" s="322" t="s">
        <v>2</v>
      </c>
      <c r="H27" s="149"/>
      <c r="J27" s="148"/>
      <c r="K27" s="835"/>
      <c r="L27" s="835"/>
      <c r="M27" s="835"/>
      <c r="N27" s="835"/>
      <c r="O27" s="835"/>
      <c r="P27" s="835"/>
      <c r="Q27" s="151"/>
      <c r="R27"/>
      <c r="S27" s="147"/>
      <c r="U27" s="76"/>
    </row>
    <row r="28" spans="1:21" ht="20.25">
      <c r="A28" s="148"/>
      <c r="B28" s="833" t="s">
        <v>347</v>
      </c>
      <c r="C28" s="833"/>
      <c r="D28" s="833"/>
      <c r="E28" s="833"/>
      <c r="F28" s="833"/>
      <c r="G28" s="150">
        <v>0.4</v>
      </c>
      <c r="H28" s="149"/>
      <c r="J28" s="148"/>
      <c r="P28" s="122" t="s">
        <v>380</v>
      </c>
      <c r="Q28" s="123">
        <f>SUM(Q25:Q27)</f>
        <v>1.5</v>
      </c>
      <c r="R28" s="21" t="s">
        <v>2</v>
      </c>
      <c r="S28" s="147"/>
      <c r="U28" s="76"/>
    </row>
    <row r="29" spans="1:21" ht="18">
      <c r="A29" s="148"/>
      <c r="B29" s="833" t="s">
        <v>79</v>
      </c>
      <c r="C29" s="833"/>
      <c r="D29" s="833"/>
      <c r="E29" s="833"/>
      <c r="F29" s="833"/>
      <c r="G29" s="150">
        <v>1.5</v>
      </c>
      <c r="H29" s="149"/>
      <c r="J29" s="153"/>
      <c r="K29" s="228"/>
      <c r="L29" s="228"/>
      <c r="M29" s="228"/>
      <c r="N29" s="228"/>
      <c r="O29" s="228"/>
      <c r="P29" s="228"/>
      <c r="Q29" s="228"/>
      <c r="R29" s="228"/>
      <c r="S29" s="158"/>
      <c r="U29" s="76"/>
    </row>
    <row r="30" spans="1:21" ht="18">
      <c r="A30" s="148"/>
      <c r="B30" s="833" t="s">
        <v>332</v>
      </c>
      <c r="C30" s="833"/>
      <c r="D30" s="833"/>
      <c r="E30" s="833"/>
      <c r="F30" s="833"/>
      <c r="G30" s="150">
        <v>2</v>
      </c>
      <c r="H30" s="149"/>
      <c r="J30" s="156"/>
      <c r="K30" s="157"/>
      <c r="L30" s="157"/>
      <c r="M30" s="157"/>
      <c r="N30" s="157"/>
      <c r="O30" s="157"/>
      <c r="P30" s="157"/>
      <c r="Q30" s="157"/>
      <c r="R30" s="157"/>
      <c r="S30" s="143"/>
      <c r="U30" s="76"/>
    </row>
    <row r="31" spans="1:21" ht="23.25">
      <c r="A31" s="148"/>
      <c r="B31" s="833" t="s">
        <v>333</v>
      </c>
      <c r="C31" s="833"/>
      <c r="D31" s="833"/>
      <c r="E31" s="833"/>
      <c r="F31" s="833"/>
      <c r="G31" s="150">
        <v>0.8</v>
      </c>
      <c r="H31" s="149"/>
      <c r="J31" s="148"/>
      <c r="K31" s="99" t="s">
        <v>381</v>
      </c>
      <c r="L31" s="146"/>
      <c r="M31" s="146"/>
      <c r="N31" s="146"/>
      <c r="O31" s="146"/>
      <c r="P31" s="146"/>
      <c r="Q31" s="146"/>
      <c r="R31" s="146"/>
      <c r="S31" s="149"/>
      <c r="U31" s="76"/>
    </row>
    <row r="32" spans="1:21" ht="23.25">
      <c r="A32" s="148"/>
      <c r="B32" s="835"/>
      <c r="C32" s="835"/>
      <c r="D32" s="835"/>
      <c r="E32" s="835"/>
      <c r="F32" s="835"/>
      <c r="G32" s="150"/>
      <c r="H32" s="149"/>
      <c r="J32" s="148"/>
      <c r="K32" s="287" t="s">
        <v>338</v>
      </c>
      <c r="L32" s="146"/>
      <c r="M32" s="146"/>
      <c r="N32" s="146"/>
      <c r="O32" s="146"/>
      <c r="P32" s="146"/>
      <c r="Q32" s="322" t="s">
        <v>2</v>
      </c>
      <c r="S32" s="149"/>
      <c r="U32" s="76"/>
    </row>
    <row r="33" spans="1:21" ht="18">
      <c r="A33" s="148"/>
      <c r="B33" s="835"/>
      <c r="C33" s="835"/>
      <c r="D33" s="835"/>
      <c r="E33" s="835"/>
      <c r="F33" s="835"/>
      <c r="G33" s="151"/>
      <c r="H33" s="149"/>
      <c r="J33" s="148"/>
      <c r="K33" s="822" t="s">
        <v>375</v>
      </c>
      <c r="L33" s="823"/>
      <c r="M33" s="823"/>
      <c r="N33" s="823"/>
      <c r="O33" s="823"/>
      <c r="P33" s="823"/>
      <c r="Q33" s="150">
        <v>0.6</v>
      </c>
      <c r="S33" s="149"/>
      <c r="U33" s="76"/>
    </row>
    <row r="34" spans="1:21" ht="20.25">
      <c r="A34" s="148"/>
      <c r="B34" s="146"/>
      <c r="C34" s="146"/>
      <c r="D34" s="144"/>
      <c r="E34" s="146"/>
      <c r="F34" s="122" t="s">
        <v>297</v>
      </c>
      <c r="G34" s="123">
        <f>SUM(G28:G33)</f>
        <v>4.7</v>
      </c>
      <c r="H34" s="149"/>
      <c r="J34" s="148"/>
      <c r="K34" s="822" t="s">
        <v>320</v>
      </c>
      <c r="L34" s="823"/>
      <c r="M34" s="823"/>
      <c r="N34" s="823"/>
      <c r="O34" s="823"/>
      <c r="P34" s="823"/>
      <c r="Q34" s="150">
        <v>1.5</v>
      </c>
      <c r="S34" s="149"/>
      <c r="U34" s="76"/>
    </row>
    <row r="35" spans="1:21" ht="18">
      <c r="A35" s="272"/>
      <c r="B35" s="144"/>
      <c r="C35" s="144"/>
      <c r="D35" s="144"/>
      <c r="E35" s="144"/>
      <c r="F35" s="144"/>
      <c r="G35" s="144"/>
      <c r="H35" s="149"/>
      <c r="J35" s="148"/>
      <c r="K35" s="822" t="s">
        <v>424</v>
      </c>
      <c r="L35" s="823"/>
      <c r="M35" s="823"/>
      <c r="N35" s="823"/>
      <c r="O35" s="823"/>
      <c r="P35" s="823"/>
      <c r="Q35" s="150">
        <v>1.5</v>
      </c>
      <c r="S35" s="149"/>
      <c r="U35" s="76"/>
    </row>
    <row r="36" spans="1:21" ht="18">
      <c r="A36" s="153"/>
      <c r="B36" s="154"/>
      <c r="C36" s="154"/>
      <c r="D36" s="154"/>
      <c r="E36" s="154"/>
      <c r="F36" s="154"/>
      <c r="G36" s="154"/>
      <c r="H36" s="155"/>
      <c r="J36" s="148"/>
      <c r="K36" s="822" t="s">
        <v>376</v>
      </c>
      <c r="L36" s="823"/>
      <c r="M36" s="823"/>
      <c r="N36" s="823"/>
      <c r="O36" s="823"/>
      <c r="P36" s="823"/>
      <c r="Q36" s="150">
        <v>1</v>
      </c>
      <c r="S36" s="149"/>
      <c r="U36" s="76"/>
    </row>
    <row r="37" spans="10:21" ht="18">
      <c r="J37" s="148"/>
      <c r="K37" s="822" t="s">
        <v>321</v>
      </c>
      <c r="L37" s="823"/>
      <c r="M37" s="823"/>
      <c r="N37" s="823"/>
      <c r="O37" s="823"/>
      <c r="P37" s="823"/>
      <c r="Q37" s="150">
        <v>1</v>
      </c>
      <c r="S37" s="149"/>
      <c r="U37" s="76"/>
    </row>
    <row r="38" spans="1:21" ht="18">
      <c r="A38"/>
      <c r="B38"/>
      <c r="C38"/>
      <c r="D38"/>
      <c r="E38"/>
      <c r="F38"/>
      <c r="G38"/>
      <c r="H38"/>
      <c r="I38"/>
      <c r="J38" s="148"/>
      <c r="K38" s="822" t="s">
        <v>322</v>
      </c>
      <c r="L38" s="823"/>
      <c r="M38" s="823"/>
      <c r="N38" s="823"/>
      <c r="O38" s="823"/>
      <c r="P38" s="823"/>
      <c r="Q38" s="150">
        <v>0.5</v>
      </c>
      <c r="S38" s="149"/>
      <c r="U38" s="76"/>
    </row>
    <row r="39" spans="1:21" ht="18">
      <c r="A39"/>
      <c r="B39"/>
      <c r="C39"/>
      <c r="D39"/>
      <c r="E39"/>
      <c r="F39"/>
      <c r="G39"/>
      <c r="H39"/>
      <c r="I39"/>
      <c r="J39" s="148"/>
      <c r="K39" s="836"/>
      <c r="L39" s="837"/>
      <c r="M39" s="837"/>
      <c r="N39" s="837"/>
      <c r="O39" s="837"/>
      <c r="P39" s="837"/>
      <c r="Q39" s="150"/>
      <c r="S39" s="149"/>
      <c r="U39" s="76"/>
    </row>
    <row r="40" spans="1:21" ht="18">
      <c r="A40"/>
      <c r="B40"/>
      <c r="C40"/>
      <c r="D40"/>
      <c r="E40"/>
      <c r="F40"/>
      <c r="G40"/>
      <c r="H40"/>
      <c r="I40"/>
      <c r="J40" s="148"/>
      <c r="K40" s="836"/>
      <c r="L40" s="837"/>
      <c r="M40" s="837"/>
      <c r="N40" s="837"/>
      <c r="O40" s="837"/>
      <c r="P40" s="837"/>
      <c r="Q40" s="150"/>
      <c r="S40" s="149"/>
      <c r="U40" s="76"/>
    </row>
    <row r="41" spans="1:21" ht="18">
      <c r="A41"/>
      <c r="B41"/>
      <c r="C41"/>
      <c r="D41"/>
      <c r="E41"/>
      <c r="F41"/>
      <c r="G41"/>
      <c r="H41"/>
      <c r="I41"/>
      <c r="J41" s="148"/>
      <c r="K41" s="836"/>
      <c r="L41" s="837"/>
      <c r="M41" s="837"/>
      <c r="N41" s="837"/>
      <c r="O41" s="837"/>
      <c r="P41" s="837"/>
      <c r="Q41" s="151"/>
      <c r="S41" s="149"/>
      <c r="U41" s="76"/>
    </row>
    <row r="42" spans="1:21" ht="20.25">
      <c r="A42"/>
      <c r="B42"/>
      <c r="C42"/>
      <c r="D42"/>
      <c r="E42"/>
      <c r="F42"/>
      <c r="G42"/>
      <c r="H42"/>
      <c r="I42"/>
      <c r="J42" s="148"/>
      <c r="K42" s="146"/>
      <c r="L42" s="146"/>
      <c r="M42" s="146"/>
      <c r="N42" s="146"/>
      <c r="O42" s="146"/>
      <c r="P42" s="582" t="s">
        <v>382</v>
      </c>
      <c r="Q42" s="123">
        <f>SUM(Q33:Q41)</f>
        <v>6.1</v>
      </c>
      <c r="R42" s="120" t="s">
        <v>30</v>
      </c>
      <c r="S42" s="149"/>
      <c r="U42" s="76"/>
    </row>
    <row r="43" spans="1:21" ht="18">
      <c r="A43"/>
      <c r="B43"/>
      <c r="C43"/>
      <c r="D43"/>
      <c r="E43"/>
      <c r="F43"/>
      <c r="G43"/>
      <c r="H43"/>
      <c r="I43"/>
      <c r="J43" s="336"/>
      <c r="K43" s="228"/>
      <c r="L43" s="228"/>
      <c r="M43" s="228"/>
      <c r="N43" s="228"/>
      <c r="O43" s="228"/>
      <c r="P43" s="228"/>
      <c r="Q43" s="228"/>
      <c r="R43" s="228"/>
      <c r="S43" s="155"/>
      <c r="U43" s="76"/>
    </row>
    <row r="44" spans="1:21" ht="18">
      <c r="A44" s="76"/>
      <c r="B44" s="76"/>
      <c r="C44" s="76"/>
      <c r="D44" s="76"/>
      <c r="E44" s="76"/>
      <c r="F44" s="76"/>
      <c r="G44" s="76"/>
      <c r="H44" s="76"/>
      <c r="I44" s="76"/>
      <c r="U44" s="76"/>
    </row>
    <row r="45" spans="1:22" ht="26.25">
      <c r="A45" s="289" t="s">
        <v>53</v>
      </c>
      <c r="B45" s="76"/>
      <c r="C45" s="76"/>
      <c r="E45" s="76"/>
      <c r="F45" s="76"/>
      <c r="G45" s="76"/>
      <c r="H45" s="76"/>
      <c r="I45" s="76"/>
      <c r="J45" s="76"/>
      <c r="U45" s="76"/>
      <c r="V45" s="76"/>
    </row>
    <row r="46" spans="1:22" ht="20.25">
      <c r="A46" s="76"/>
      <c r="B46" s="76"/>
      <c r="C46" s="76"/>
      <c r="E46" s="854" t="s">
        <v>340</v>
      </c>
      <c r="F46" s="855"/>
      <c r="G46" s="856"/>
      <c r="H46" s="129">
        <f>+F19</f>
        <v>1.2</v>
      </c>
      <c r="I46" s="76"/>
      <c r="J46" s="76"/>
      <c r="U46" s="76"/>
      <c r="V46" s="76"/>
    </row>
    <row r="47" spans="1:22" ht="20.25">
      <c r="A47" s="128"/>
      <c r="B47" s="76"/>
      <c r="C47" s="76"/>
      <c r="E47" s="854" t="s">
        <v>346</v>
      </c>
      <c r="F47" s="855"/>
      <c r="G47" s="856"/>
      <c r="H47" s="121" t="s">
        <v>82</v>
      </c>
      <c r="I47" s="76"/>
      <c r="J47" s="76"/>
      <c r="U47" s="76"/>
      <c r="V47" s="76"/>
    </row>
    <row r="48" spans="1:22" ht="18.75" thickBot="1">
      <c r="A48" s="76"/>
      <c r="B48" s="76"/>
      <c r="C48" s="76"/>
      <c r="E48" s="76"/>
      <c r="F48" s="76"/>
      <c r="G48" s="76"/>
      <c r="H48" s="76"/>
      <c r="I48" s="76"/>
      <c r="J48" s="76"/>
      <c r="K48" s="76"/>
      <c r="L48" s="76"/>
      <c r="M48" s="76"/>
      <c r="O48" s="76"/>
      <c r="P48" s="76"/>
      <c r="Q48" s="76"/>
      <c r="R48" s="76"/>
      <c r="S48" s="76"/>
      <c r="T48" s="76"/>
      <c r="U48" s="76"/>
      <c r="V48" s="76"/>
    </row>
    <row r="49" spans="1:20" ht="20.25">
      <c r="A49" s="119"/>
      <c r="B49" s="119"/>
      <c r="C49" s="130" t="s">
        <v>305</v>
      </c>
      <c r="D49" s="130" t="s">
        <v>300</v>
      </c>
      <c r="E49" s="119"/>
      <c r="F49" s="130" t="s">
        <v>31</v>
      </c>
      <c r="H49" s="842" t="s">
        <v>302</v>
      </c>
      <c r="I49" s="843"/>
      <c r="J49" s="844"/>
      <c r="K49" s="842" t="s">
        <v>303</v>
      </c>
      <c r="L49" s="843"/>
      <c r="M49" s="843"/>
      <c r="N49" s="844"/>
      <c r="O49" s="76"/>
      <c r="P49" s="76"/>
      <c r="Q49" s="76"/>
      <c r="R49" s="76"/>
      <c r="S49" s="76"/>
      <c r="T49" s="76"/>
    </row>
    <row r="50" spans="1:20" ht="21" thickBot="1">
      <c r="A50" s="131" t="s">
        <v>388</v>
      </c>
      <c r="B50" s="542" t="s">
        <v>36</v>
      </c>
      <c r="C50" s="134" t="s">
        <v>33</v>
      </c>
      <c r="D50" s="543" t="s">
        <v>327</v>
      </c>
      <c r="E50" s="131" t="s">
        <v>301</v>
      </c>
      <c r="F50" s="134" t="s">
        <v>32</v>
      </c>
      <c r="H50" s="585" t="s">
        <v>79</v>
      </c>
      <c r="I50" s="586" t="s">
        <v>305</v>
      </c>
      <c r="J50" s="587" t="s">
        <v>301</v>
      </c>
      <c r="K50" s="820" t="s">
        <v>304</v>
      </c>
      <c r="L50" s="821"/>
      <c r="M50" s="144"/>
      <c r="N50" s="135"/>
      <c r="O50" s="76"/>
      <c r="P50" s="76"/>
      <c r="Q50" s="76"/>
      <c r="R50" s="76"/>
      <c r="S50" s="76"/>
      <c r="T50" s="76"/>
    </row>
    <row r="51" spans="1:20" ht="18.75" thickTop="1">
      <c r="A51" s="164">
        <v>1</v>
      </c>
      <c r="B51" s="165">
        <v>15</v>
      </c>
      <c r="C51" s="165">
        <v>1</v>
      </c>
      <c r="D51" s="165">
        <v>1</v>
      </c>
      <c r="E51" s="165"/>
      <c r="F51" s="166">
        <f aca="true" t="shared" si="0" ref="F51:F76">IF(B51=0,0,(B51+0.2)/$H$46)</f>
        <v>12.666666666666666</v>
      </c>
      <c r="H51" s="280">
        <f>+$G$16*F51</f>
        <v>62.066666666666656</v>
      </c>
      <c r="I51" s="166">
        <f aca="true" t="shared" si="1" ref="I51:I76">+C51*$P$12</f>
        <v>0.9</v>
      </c>
      <c r="J51" s="281">
        <f aca="true" t="shared" si="2" ref="J51:J76">+E51*$G$34</f>
        <v>0</v>
      </c>
      <c r="K51" s="831">
        <f aca="true" t="shared" si="3" ref="K51:K76">IF(B51&gt;0,$Q$20,0)</f>
        <v>1.5</v>
      </c>
      <c r="L51" s="832"/>
      <c r="M51" s="144"/>
      <c r="N51" s="163"/>
      <c r="O51" s="76"/>
      <c r="P51" s="76"/>
      <c r="Q51" s="76"/>
      <c r="R51" s="76"/>
      <c r="S51" s="76"/>
      <c r="T51" s="76"/>
    </row>
    <row r="52" spans="1:20" ht="18">
      <c r="A52" s="170">
        <f aca="true" t="shared" si="4" ref="A52:A76">+A51+1</f>
        <v>2</v>
      </c>
      <c r="B52" s="151">
        <v>15</v>
      </c>
      <c r="C52" s="151">
        <v>1</v>
      </c>
      <c r="D52" s="151">
        <v>1</v>
      </c>
      <c r="E52" s="151"/>
      <c r="F52" s="166">
        <f t="shared" si="0"/>
        <v>12.666666666666666</v>
      </c>
      <c r="H52" s="167">
        <f>+$G$16*F52</f>
        <v>62.066666666666656</v>
      </c>
      <c r="I52" s="168">
        <f t="shared" si="1"/>
        <v>0.9</v>
      </c>
      <c r="J52" s="169">
        <f t="shared" si="2"/>
        <v>0</v>
      </c>
      <c r="K52" s="818">
        <f t="shared" si="3"/>
        <v>1.5</v>
      </c>
      <c r="L52" s="819"/>
      <c r="M52" s="144"/>
      <c r="N52" s="163"/>
      <c r="O52" s="76"/>
      <c r="P52" s="76"/>
      <c r="Q52" s="76"/>
      <c r="R52" s="76"/>
      <c r="S52" s="76"/>
      <c r="T52" s="76"/>
    </row>
    <row r="53" spans="1:20" ht="18">
      <c r="A53" s="170">
        <f t="shared" si="4"/>
        <v>3</v>
      </c>
      <c r="B53" s="151">
        <v>15</v>
      </c>
      <c r="C53" s="151">
        <v>1</v>
      </c>
      <c r="D53" s="151">
        <v>1</v>
      </c>
      <c r="E53" s="151"/>
      <c r="F53" s="166">
        <f t="shared" si="0"/>
        <v>12.666666666666666</v>
      </c>
      <c r="H53" s="167">
        <f aca="true" t="shared" si="5" ref="H53:H76">+$G$16*F53</f>
        <v>62.066666666666656</v>
      </c>
      <c r="I53" s="168">
        <f t="shared" si="1"/>
        <v>0.9</v>
      </c>
      <c r="J53" s="169">
        <f t="shared" si="2"/>
        <v>0</v>
      </c>
      <c r="K53" s="818">
        <f t="shared" si="3"/>
        <v>1.5</v>
      </c>
      <c r="L53" s="819"/>
      <c r="M53" s="144"/>
      <c r="N53" s="163"/>
      <c r="O53" s="76"/>
      <c r="P53" s="76"/>
      <c r="Q53" s="76"/>
      <c r="R53" s="76"/>
      <c r="S53" s="76"/>
      <c r="T53" s="76"/>
    </row>
    <row r="54" spans="1:20" ht="18">
      <c r="A54" s="170">
        <f t="shared" si="4"/>
        <v>4</v>
      </c>
      <c r="B54" s="151"/>
      <c r="C54" s="151"/>
      <c r="D54" s="151"/>
      <c r="E54" s="151"/>
      <c r="F54" s="166">
        <f t="shared" si="0"/>
        <v>0</v>
      </c>
      <c r="H54" s="167">
        <f t="shared" si="5"/>
        <v>0</v>
      </c>
      <c r="I54" s="168">
        <f t="shared" si="1"/>
        <v>0</v>
      </c>
      <c r="J54" s="169">
        <f t="shared" si="2"/>
        <v>0</v>
      </c>
      <c r="K54" s="818">
        <f t="shared" si="3"/>
        <v>0</v>
      </c>
      <c r="L54" s="819"/>
      <c r="M54" s="144"/>
      <c r="N54" s="163"/>
      <c r="O54" s="76"/>
      <c r="P54" s="76"/>
      <c r="Q54" s="76"/>
      <c r="R54" s="76"/>
      <c r="S54" s="76"/>
      <c r="T54" s="76"/>
    </row>
    <row r="55" spans="1:20" ht="18">
      <c r="A55" s="170">
        <f t="shared" si="4"/>
        <v>5</v>
      </c>
      <c r="B55" s="151"/>
      <c r="C55" s="151"/>
      <c r="D55" s="151"/>
      <c r="E55" s="151"/>
      <c r="F55" s="166">
        <f t="shared" si="0"/>
        <v>0</v>
      </c>
      <c r="H55" s="167">
        <f t="shared" si="5"/>
        <v>0</v>
      </c>
      <c r="I55" s="168">
        <f t="shared" si="1"/>
        <v>0</v>
      </c>
      <c r="J55" s="169">
        <f t="shared" si="2"/>
        <v>0</v>
      </c>
      <c r="K55" s="818">
        <f t="shared" si="3"/>
        <v>0</v>
      </c>
      <c r="L55" s="819"/>
      <c r="M55" s="144"/>
      <c r="N55" s="163"/>
      <c r="O55" s="76"/>
      <c r="P55" s="76"/>
      <c r="Q55" s="76"/>
      <c r="R55" s="76"/>
      <c r="S55" s="76"/>
      <c r="T55" s="76"/>
    </row>
    <row r="56" spans="1:20" ht="18">
      <c r="A56" s="170">
        <f t="shared" si="4"/>
        <v>6</v>
      </c>
      <c r="B56" s="151"/>
      <c r="C56" s="151"/>
      <c r="D56" s="151"/>
      <c r="E56" s="151"/>
      <c r="F56" s="166">
        <f t="shared" si="0"/>
        <v>0</v>
      </c>
      <c r="H56" s="167">
        <f t="shared" si="5"/>
        <v>0</v>
      </c>
      <c r="I56" s="168">
        <f t="shared" si="1"/>
        <v>0</v>
      </c>
      <c r="J56" s="169">
        <f t="shared" si="2"/>
        <v>0</v>
      </c>
      <c r="K56" s="818">
        <f t="shared" si="3"/>
        <v>0</v>
      </c>
      <c r="L56" s="819"/>
      <c r="M56" s="144"/>
      <c r="N56" s="163"/>
      <c r="O56" s="76"/>
      <c r="P56" s="76"/>
      <c r="Q56" s="76"/>
      <c r="R56" s="76"/>
      <c r="S56" s="76"/>
      <c r="T56" s="76"/>
    </row>
    <row r="57" spans="1:20" ht="18">
      <c r="A57" s="170">
        <f t="shared" si="4"/>
        <v>7</v>
      </c>
      <c r="B57" s="151"/>
      <c r="C57" s="151"/>
      <c r="D57" s="151"/>
      <c r="E57" s="151"/>
      <c r="F57" s="166">
        <f t="shared" si="0"/>
        <v>0</v>
      </c>
      <c r="H57" s="167">
        <f t="shared" si="5"/>
        <v>0</v>
      </c>
      <c r="I57" s="168">
        <f t="shared" si="1"/>
        <v>0</v>
      </c>
      <c r="J57" s="169">
        <f t="shared" si="2"/>
        <v>0</v>
      </c>
      <c r="K57" s="818">
        <f t="shared" si="3"/>
        <v>0</v>
      </c>
      <c r="L57" s="819"/>
      <c r="M57" s="144"/>
      <c r="N57" s="163"/>
      <c r="O57" s="76"/>
      <c r="P57" s="76"/>
      <c r="Q57" s="76"/>
      <c r="R57" s="76"/>
      <c r="S57" s="76"/>
      <c r="T57" s="76"/>
    </row>
    <row r="58" spans="1:20" ht="18">
      <c r="A58" s="170">
        <f t="shared" si="4"/>
        <v>8</v>
      </c>
      <c r="B58" s="151"/>
      <c r="C58" s="151"/>
      <c r="D58" s="151"/>
      <c r="E58" s="151"/>
      <c r="F58" s="166">
        <f t="shared" si="0"/>
        <v>0</v>
      </c>
      <c r="H58" s="167">
        <f t="shared" si="5"/>
        <v>0</v>
      </c>
      <c r="I58" s="168">
        <f t="shared" si="1"/>
        <v>0</v>
      </c>
      <c r="J58" s="169">
        <f t="shared" si="2"/>
        <v>0</v>
      </c>
      <c r="K58" s="818">
        <f t="shared" si="3"/>
        <v>0</v>
      </c>
      <c r="L58" s="819"/>
      <c r="M58" s="144"/>
      <c r="N58" s="163"/>
      <c r="O58" s="76"/>
      <c r="P58" s="76"/>
      <c r="Q58" s="76"/>
      <c r="R58" s="76"/>
      <c r="S58" s="76"/>
      <c r="T58" s="76"/>
    </row>
    <row r="59" spans="1:20" ht="18">
      <c r="A59" s="170">
        <f t="shared" si="4"/>
        <v>9</v>
      </c>
      <c r="B59" s="151"/>
      <c r="C59" s="151"/>
      <c r="D59" s="151"/>
      <c r="E59" s="151"/>
      <c r="F59" s="166">
        <f t="shared" si="0"/>
        <v>0</v>
      </c>
      <c r="H59" s="167">
        <f t="shared" si="5"/>
        <v>0</v>
      </c>
      <c r="I59" s="168">
        <f t="shared" si="1"/>
        <v>0</v>
      </c>
      <c r="J59" s="169">
        <f t="shared" si="2"/>
        <v>0</v>
      </c>
      <c r="K59" s="818">
        <f t="shared" si="3"/>
        <v>0</v>
      </c>
      <c r="L59" s="819"/>
      <c r="M59" s="144"/>
      <c r="N59" s="163"/>
      <c r="O59" s="76"/>
      <c r="P59" s="76"/>
      <c r="Q59" s="76"/>
      <c r="R59" s="76"/>
      <c r="S59" s="76"/>
      <c r="T59" s="76"/>
    </row>
    <row r="60" spans="1:20" ht="18">
      <c r="A60" s="170">
        <f t="shared" si="4"/>
        <v>10</v>
      </c>
      <c r="B60" s="151"/>
      <c r="C60" s="151"/>
      <c r="D60" s="151"/>
      <c r="E60" s="151"/>
      <c r="F60" s="166">
        <f t="shared" si="0"/>
        <v>0</v>
      </c>
      <c r="H60" s="167">
        <f t="shared" si="5"/>
        <v>0</v>
      </c>
      <c r="I60" s="168">
        <f t="shared" si="1"/>
        <v>0</v>
      </c>
      <c r="J60" s="169">
        <f t="shared" si="2"/>
        <v>0</v>
      </c>
      <c r="K60" s="818">
        <f t="shared" si="3"/>
        <v>0</v>
      </c>
      <c r="L60" s="819"/>
      <c r="M60" s="144"/>
      <c r="N60" s="163"/>
      <c r="O60" s="76"/>
      <c r="P60" s="77"/>
      <c r="Q60" s="146"/>
      <c r="R60" s="146"/>
      <c r="S60" s="76"/>
      <c r="T60" s="76"/>
    </row>
    <row r="61" spans="1:20" ht="18">
      <c r="A61" s="170">
        <f t="shared" si="4"/>
        <v>11</v>
      </c>
      <c r="B61" s="151"/>
      <c r="C61" s="151"/>
      <c r="D61" s="151"/>
      <c r="E61" s="151"/>
      <c r="F61" s="166">
        <f t="shared" si="0"/>
        <v>0</v>
      </c>
      <c r="H61" s="167">
        <f t="shared" si="5"/>
        <v>0</v>
      </c>
      <c r="I61" s="168">
        <f t="shared" si="1"/>
        <v>0</v>
      </c>
      <c r="J61" s="169">
        <f t="shared" si="2"/>
        <v>0</v>
      </c>
      <c r="K61" s="818">
        <f t="shared" si="3"/>
        <v>0</v>
      </c>
      <c r="L61" s="819"/>
      <c r="M61" s="144"/>
      <c r="N61" s="163"/>
      <c r="O61" s="76"/>
      <c r="P61" s="77"/>
      <c r="Q61" s="146"/>
      <c r="R61" s="146"/>
      <c r="S61" s="76"/>
      <c r="T61" s="76"/>
    </row>
    <row r="62" spans="1:20" ht="18">
      <c r="A62" s="170">
        <f t="shared" si="4"/>
        <v>12</v>
      </c>
      <c r="B62" s="151"/>
      <c r="C62" s="151"/>
      <c r="D62" s="151"/>
      <c r="E62" s="151"/>
      <c r="F62" s="166">
        <f t="shared" si="0"/>
        <v>0</v>
      </c>
      <c r="H62" s="167">
        <f t="shared" si="5"/>
        <v>0</v>
      </c>
      <c r="I62" s="168">
        <f t="shared" si="1"/>
        <v>0</v>
      </c>
      <c r="J62" s="169">
        <f t="shared" si="2"/>
        <v>0</v>
      </c>
      <c r="K62" s="818">
        <f t="shared" si="3"/>
        <v>0</v>
      </c>
      <c r="L62" s="819"/>
      <c r="M62" s="144"/>
      <c r="N62" s="163"/>
      <c r="O62" s="76"/>
      <c r="P62" s="77"/>
      <c r="Q62" s="146"/>
      <c r="R62" s="146"/>
      <c r="S62" s="76"/>
      <c r="T62" s="76"/>
    </row>
    <row r="63" spans="1:20" ht="18">
      <c r="A63" s="170">
        <f t="shared" si="4"/>
        <v>13</v>
      </c>
      <c r="B63" s="151"/>
      <c r="C63" s="151"/>
      <c r="D63" s="151"/>
      <c r="E63" s="151"/>
      <c r="F63" s="166">
        <f t="shared" si="0"/>
        <v>0</v>
      </c>
      <c r="H63" s="167">
        <f t="shared" si="5"/>
        <v>0</v>
      </c>
      <c r="I63" s="168">
        <f t="shared" si="1"/>
        <v>0</v>
      </c>
      <c r="J63" s="169">
        <f t="shared" si="2"/>
        <v>0</v>
      </c>
      <c r="K63" s="818">
        <f t="shared" si="3"/>
        <v>0</v>
      </c>
      <c r="L63" s="819"/>
      <c r="M63" s="144"/>
      <c r="N63" s="163"/>
      <c r="O63" s="76"/>
      <c r="P63" s="77"/>
      <c r="Q63" s="146"/>
      <c r="R63" s="146"/>
      <c r="S63" s="76"/>
      <c r="T63" s="76"/>
    </row>
    <row r="64" spans="1:20" ht="18">
      <c r="A64" s="170">
        <f t="shared" si="4"/>
        <v>14</v>
      </c>
      <c r="B64" s="151"/>
      <c r="C64" s="151"/>
      <c r="D64" s="151"/>
      <c r="E64" s="151"/>
      <c r="F64" s="166">
        <f t="shared" si="0"/>
        <v>0</v>
      </c>
      <c r="H64" s="167">
        <f t="shared" si="5"/>
        <v>0</v>
      </c>
      <c r="I64" s="168">
        <f t="shared" si="1"/>
        <v>0</v>
      </c>
      <c r="J64" s="169">
        <f t="shared" si="2"/>
        <v>0</v>
      </c>
      <c r="K64" s="818">
        <f t="shared" si="3"/>
        <v>0</v>
      </c>
      <c r="L64" s="819"/>
      <c r="M64" s="144"/>
      <c r="N64" s="163"/>
      <c r="O64" s="76"/>
      <c r="P64" s="77"/>
      <c r="Q64" s="146"/>
      <c r="R64" s="146"/>
      <c r="S64" s="76"/>
      <c r="T64" s="76"/>
    </row>
    <row r="65" spans="1:20" ht="18">
      <c r="A65" s="170">
        <f t="shared" si="4"/>
        <v>15</v>
      </c>
      <c r="B65" s="151"/>
      <c r="C65" s="151"/>
      <c r="D65" s="151"/>
      <c r="E65" s="151"/>
      <c r="F65" s="166">
        <f t="shared" si="0"/>
        <v>0</v>
      </c>
      <c r="H65" s="167">
        <f t="shared" si="5"/>
        <v>0</v>
      </c>
      <c r="I65" s="168">
        <f t="shared" si="1"/>
        <v>0</v>
      </c>
      <c r="J65" s="169">
        <f t="shared" si="2"/>
        <v>0</v>
      </c>
      <c r="K65" s="818">
        <f t="shared" si="3"/>
        <v>0</v>
      </c>
      <c r="L65" s="819"/>
      <c r="M65" s="144"/>
      <c r="N65" s="163"/>
      <c r="O65" s="76"/>
      <c r="P65" s="77"/>
      <c r="Q65" s="146"/>
      <c r="R65" s="146"/>
      <c r="S65" s="76"/>
      <c r="T65" s="76"/>
    </row>
    <row r="66" spans="1:20" ht="18">
      <c r="A66" s="170">
        <f t="shared" si="4"/>
        <v>16</v>
      </c>
      <c r="B66" s="151"/>
      <c r="C66" s="151"/>
      <c r="D66" s="151"/>
      <c r="E66" s="151"/>
      <c r="F66" s="166">
        <f t="shared" si="0"/>
        <v>0</v>
      </c>
      <c r="H66" s="167">
        <f t="shared" si="5"/>
        <v>0</v>
      </c>
      <c r="I66" s="168">
        <f t="shared" si="1"/>
        <v>0</v>
      </c>
      <c r="J66" s="169">
        <f t="shared" si="2"/>
        <v>0</v>
      </c>
      <c r="K66" s="818">
        <f t="shared" si="3"/>
        <v>0</v>
      </c>
      <c r="L66" s="819"/>
      <c r="M66" s="144"/>
      <c r="N66" s="163"/>
      <c r="O66" s="76"/>
      <c r="P66" s="77"/>
      <c r="Q66" s="146"/>
      <c r="R66" s="146"/>
      <c r="S66" s="76"/>
      <c r="T66" s="76"/>
    </row>
    <row r="67" spans="1:20" ht="18">
      <c r="A67" s="170">
        <f t="shared" si="4"/>
        <v>17</v>
      </c>
      <c r="B67" s="151"/>
      <c r="C67" s="151"/>
      <c r="D67" s="151"/>
      <c r="E67" s="151"/>
      <c r="F67" s="166">
        <f t="shared" si="0"/>
        <v>0</v>
      </c>
      <c r="H67" s="167">
        <f t="shared" si="5"/>
        <v>0</v>
      </c>
      <c r="I67" s="168">
        <f t="shared" si="1"/>
        <v>0</v>
      </c>
      <c r="J67" s="169">
        <f t="shared" si="2"/>
        <v>0</v>
      </c>
      <c r="K67" s="818">
        <f t="shared" si="3"/>
        <v>0</v>
      </c>
      <c r="L67" s="819"/>
      <c r="M67" s="144"/>
      <c r="N67" s="163"/>
      <c r="O67" s="76"/>
      <c r="P67" s="77"/>
      <c r="Q67" s="146"/>
      <c r="R67" s="146"/>
      <c r="S67" s="76"/>
      <c r="T67" s="76"/>
    </row>
    <row r="68" spans="1:20" ht="18">
      <c r="A68" s="170">
        <f t="shared" si="4"/>
        <v>18</v>
      </c>
      <c r="B68" s="151"/>
      <c r="C68" s="151"/>
      <c r="D68" s="151"/>
      <c r="E68" s="151"/>
      <c r="F68" s="166">
        <f t="shared" si="0"/>
        <v>0</v>
      </c>
      <c r="H68" s="167">
        <f t="shared" si="5"/>
        <v>0</v>
      </c>
      <c r="I68" s="168">
        <f t="shared" si="1"/>
        <v>0</v>
      </c>
      <c r="J68" s="169">
        <f t="shared" si="2"/>
        <v>0</v>
      </c>
      <c r="K68" s="818">
        <f t="shared" si="3"/>
        <v>0</v>
      </c>
      <c r="L68" s="819"/>
      <c r="M68" s="144"/>
      <c r="N68" s="163"/>
      <c r="O68" s="76"/>
      <c r="P68" s="77"/>
      <c r="Q68" s="146"/>
      <c r="R68" s="146"/>
      <c r="S68" s="76"/>
      <c r="T68" s="76"/>
    </row>
    <row r="69" spans="1:20" ht="18">
      <c r="A69" s="170">
        <f t="shared" si="4"/>
        <v>19</v>
      </c>
      <c r="B69" s="151"/>
      <c r="C69" s="151"/>
      <c r="D69" s="151"/>
      <c r="E69" s="151"/>
      <c r="F69" s="166">
        <f t="shared" si="0"/>
        <v>0</v>
      </c>
      <c r="H69" s="167">
        <f t="shared" si="5"/>
        <v>0</v>
      </c>
      <c r="I69" s="168">
        <f t="shared" si="1"/>
        <v>0</v>
      </c>
      <c r="J69" s="169">
        <f t="shared" si="2"/>
        <v>0</v>
      </c>
      <c r="K69" s="818">
        <f t="shared" si="3"/>
        <v>0</v>
      </c>
      <c r="L69" s="819"/>
      <c r="M69" s="144"/>
      <c r="N69" s="163"/>
      <c r="O69" s="76"/>
      <c r="P69" s="77"/>
      <c r="Q69" s="146"/>
      <c r="R69" s="146"/>
      <c r="S69" s="76"/>
      <c r="T69" s="76"/>
    </row>
    <row r="70" spans="1:20" ht="18">
      <c r="A70" s="170">
        <f t="shared" si="4"/>
        <v>20</v>
      </c>
      <c r="B70" s="151"/>
      <c r="C70" s="151"/>
      <c r="D70" s="151"/>
      <c r="E70" s="151"/>
      <c r="F70" s="166">
        <f t="shared" si="0"/>
        <v>0</v>
      </c>
      <c r="H70" s="167">
        <f t="shared" si="5"/>
        <v>0</v>
      </c>
      <c r="I70" s="168">
        <f t="shared" si="1"/>
        <v>0</v>
      </c>
      <c r="J70" s="169">
        <f t="shared" si="2"/>
        <v>0</v>
      </c>
      <c r="K70" s="818">
        <f t="shared" si="3"/>
        <v>0</v>
      </c>
      <c r="L70" s="819"/>
      <c r="M70" s="144"/>
      <c r="N70" s="163"/>
      <c r="O70" s="76"/>
      <c r="P70" s="77"/>
      <c r="Q70" s="146"/>
      <c r="R70" s="146"/>
      <c r="S70" s="76"/>
      <c r="T70" s="76"/>
    </row>
    <row r="71" spans="1:20" ht="18">
      <c r="A71" s="170">
        <f t="shared" si="4"/>
        <v>21</v>
      </c>
      <c r="B71" s="151"/>
      <c r="C71" s="151"/>
      <c r="D71" s="151"/>
      <c r="E71" s="151"/>
      <c r="F71" s="166">
        <f t="shared" si="0"/>
        <v>0</v>
      </c>
      <c r="H71" s="167">
        <f t="shared" si="5"/>
        <v>0</v>
      </c>
      <c r="I71" s="168">
        <f t="shared" si="1"/>
        <v>0</v>
      </c>
      <c r="J71" s="169">
        <f t="shared" si="2"/>
        <v>0</v>
      </c>
      <c r="K71" s="818">
        <f t="shared" si="3"/>
        <v>0</v>
      </c>
      <c r="L71" s="819"/>
      <c r="M71" s="144"/>
      <c r="N71" s="163"/>
      <c r="O71" s="76"/>
      <c r="P71" s="77"/>
      <c r="Q71" s="146"/>
      <c r="R71" s="146"/>
      <c r="S71" s="76"/>
      <c r="T71" s="76"/>
    </row>
    <row r="72" spans="1:20" ht="18">
      <c r="A72" s="170">
        <f t="shared" si="4"/>
        <v>22</v>
      </c>
      <c r="B72" s="151"/>
      <c r="C72" s="151"/>
      <c r="D72" s="151"/>
      <c r="E72" s="151"/>
      <c r="F72" s="166">
        <f t="shared" si="0"/>
        <v>0</v>
      </c>
      <c r="H72" s="167">
        <f t="shared" si="5"/>
        <v>0</v>
      </c>
      <c r="I72" s="168">
        <f t="shared" si="1"/>
        <v>0</v>
      </c>
      <c r="J72" s="169">
        <f t="shared" si="2"/>
        <v>0</v>
      </c>
      <c r="K72" s="818">
        <f t="shared" si="3"/>
        <v>0</v>
      </c>
      <c r="L72" s="819"/>
      <c r="M72" s="144"/>
      <c r="N72" s="163"/>
      <c r="O72"/>
      <c r="P72"/>
      <c r="Q72"/>
      <c r="R72"/>
      <c r="S72" s="76"/>
      <c r="T72" s="76"/>
    </row>
    <row r="73" spans="1:20" ht="18">
      <c r="A73" s="170">
        <f t="shared" si="4"/>
        <v>23</v>
      </c>
      <c r="B73" s="151"/>
      <c r="C73" s="151"/>
      <c r="D73" s="151"/>
      <c r="E73" s="151"/>
      <c r="F73" s="166">
        <f t="shared" si="0"/>
        <v>0</v>
      </c>
      <c r="H73" s="167">
        <f t="shared" si="5"/>
        <v>0</v>
      </c>
      <c r="I73" s="168">
        <f t="shared" si="1"/>
        <v>0</v>
      </c>
      <c r="J73" s="169">
        <f t="shared" si="2"/>
        <v>0</v>
      </c>
      <c r="K73" s="818">
        <f t="shared" si="3"/>
        <v>0</v>
      </c>
      <c r="L73" s="819"/>
      <c r="M73" s="144"/>
      <c r="N73" s="163"/>
      <c r="O73" s="76"/>
      <c r="P73" s="76"/>
      <c r="Q73" s="76"/>
      <c r="R73" s="76"/>
      <c r="S73" s="76"/>
      <c r="T73" s="76"/>
    </row>
    <row r="74" spans="1:20" ht="18.75" thickBot="1">
      <c r="A74" s="170">
        <f t="shared" si="4"/>
        <v>24</v>
      </c>
      <c r="B74" s="151"/>
      <c r="C74" s="151"/>
      <c r="D74" s="151"/>
      <c r="E74" s="151"/>
      <c r="F74" s="166">
        <f t="shared" si="0"/>
        <v>0</v>
      </c>
      <c r="H74" s="167">
        <f t="shared" si="5"/>
        <v>0</v>
      </c>
      <c r="I74" s="168">
        <f t="shared" si="1"/>
        <v>0</v>
      </c>
      <c r="J74" s="169">
        <f t="shared" si="2"/>
        <v>0</v>
      </c>
      <c r="K74" s="818">
        <f t="shared" si="3"/>
        <v>0</v>
      </c>
      <c r="L74" s="819"/>
      <c r="M74" s="144"/>
      <c r="N74" s="163"/>
      <c r="O74" s="76"/>
      <c r="P74" s="76"/>
      <c r="Q74" s="76"/>
      <c r="R74" s="76"/>
      <c r="S74" s="76"/>
      <c r="T74" s="76"/>
    </row>
    <row r="75" spans="1:20" ht="20.25">
      <c r="A75" s="170">
        <f t="shared" si="4"/>
        <v>25</v>
      </c>
      <c r="B75" s="151"/>
      <c r="C75" s="151"/>
      <c r="D75" s="151"/>
      <c r="E75" s="151"/>
      <c r="F75" s="166">
        <f t="shared" si="0"/>
        <v>0</v>
      </c>
      <c r="H75" s="167">
        <f t="shared" si="5"/>
        <v>0</v>
      </c>
      <c r="I75" s="168">
        <f t="shared" si="1"/>
        <v>0</v>
      </c>
      <c r="J75" s="169">
        <f t="shared" si="2"/>
        <v>0</v>
      </c>
      <c r="K75" s="818">
        <f t="shared" si="3"/>
        <v>0</v>
      </c>
      <c r="L75" s="819"/>
      <c r="M75" s="590" t="s">
        <v>300</v>
      </c>
      <c r="N75" s="171"/>
      <c r="O75" s="857" t="s">
        <v>425</v>
      </c>
      <c r="P75" s="858"/>
      <c r="Q75" s="858"/>
      <c r="R75" s="859"/>
      <c r="S75" s="76"/>
      <c r="T75" s="76"/>
    </row>
    <row r="76" spans="1:18" ht="21" thickBot="1">
      <c r="A76" s="170">
        <f t="shared" si="4"/>
        <v>26</v>
      </c>
      <c r="B76" s="151"/>
      <c r="C76" s="151"/>
      <c r="D76" s="151"/>
      <c r="E76" s="151"/>
      <c r="F76" s="166">
        <f t="shared" si="0"/>
        <v>0</v>
      </c>
      <c r="H76" s="167">
        <f t="shared" si="5"/>
        <v>0</v>
      </c>
      <c r="I76" s="168">
        <f t="shared" si="1"/>
        <v>0</v>
      </c>
      <c r="J76" s="169">
        <f t="shared" si="2"/>
        <v>0</v>
      </c>
      <c r="K76" s="818">
        <f t="shared" si="3"/>
        <v>0</v>
      </c>
      <c r="L76" s="819"/>
      <c r="M76" s="558" t="s">
        <v>327</v>
      </c>
      <c r="N76" s="284" t="s">
        <v>306</v>
      </c>
      <c r="O76" s="860"/>
      <c r="P76" s="861"/>
      <c r="Q76" s="861"/>
      <c r="R76" s="862"/>
    </row>
    <row r="77" spans="1:20" ht="21.75" thickBot="1" thickTop="1">
      <c r="A77" s="76"/>
      <c r="B77" s="172">
        <f>SUM(B51:B76)</f>
        <v>45</v>
      </c>
      <c r="C77" s="172">
        <f>SUM(C51:C76)</f>
        <v>3</v>
      </c>
      <c r="D77" s="172">
        <f>MAX(D51:D76)</f>
        <v>1</v>
      </c>
      <c r="E77" s="76"/>
      <c r="F77" s="76"/>
      <c r="H77" s="136">
        <f>SUM(H51:H76)</f>
        <v>186.19999999999996</v>
      </c>
      <c r="I77" s="137">
        <f>SUM(I51:I76)</f>
        <v>2.7</v>
      </c>
      <c r="J77" s="138">
        <f>SUM(J51:J76)</f>
        <v>0</v>
      </c>
      <c r="K77" s="847">
        <f>SUM(K51:K76)</f>
        <v>4.5</v>
      </c>
      <c r="L77" s="848"/>
      <c r="M77" s="290">
        <f>+D77*Q28</f>
        <v>1.5</v>
      </c>
      <c r="N77" s="337">
        <f>+Q42*(1+A79)</f>
        <v>6.1</v>
      </c>
      <c r="O77" s="827">
        <f>SUM(H77:N77)</f>
        <v>200.99999999999994</v>
      </c>
      <c r="P77" s="828"/>
      <c r="Q77" s="845" t="s">
        <v>99</v>
      </c>
      <c r="R77" s="846"/>
      <c r="S77" s="76"/>
      <c r="T77" s="76"/>
    </row>
    <row r="78" spans="1:20" ht="21" thickBot="1">
      <c r="A78" s="851" t="s">
        <v>299</v>
      </c>
      <c r="B78" s="852"/>
      <c r="C78" s="852"/>
      <c r="D78" s="852"/>
      <c r="E78" s="852"/>
      <c r="F78" s="853"/>
      <c r="G78" s="76"/>
      <c r="I78" s="119"/>
      <c r="J78" s="119"/>
      <c r="K78" s="119"/>
      <c r="L78" s="119"/>
      <c r="M78" s="119"/>
      <c r="N78" s="119"/>
      <c r="O78" s="829">
        <f>+O77/60</f>
        <v>3.349999999999999</v>
      </c>
      <c r="P78" s="830"/>
      <c r="Q78" s="825" t="s">
        <v>4</v>
      </c>
      <c r="R78" s="826"/>
      <c r="S78" s="76"/>
      <c r="T78" s="76"/>
    </row>
    <row r="79" spans="1:22" ht="21" thickBot="1">
      <c r="A79" s="839">
        <v>0</v>
      </c>
      <c r="B79" s="840"/>
      <c r="C79" s="840"/>
      <c r="D79" s="840"/>
      <c r="E79" s="840"/>
      <c r="F79" s="841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</row>
    <row r="80" spans="1:22" ht="30" customHeight="1" thickBot="1">
      <c r="A80" s="76"/>
      <c r="B80" s="76"/>
      <c r="C80" s="76"/>
      <c r="D80" s="76"/>
      <c r="E80" s="76"/>
      <c r="F80" s="76"/>
      <c r="G80" s="76"/>
      <c r="H80" s="76"/>
      <c r="I80" s="849" t="s">
        <v>34</v>
      </c>
      <c r="J80" s="850"/>
      <c r="K80" s="850"/>
      <c r="L80" s="850"/>
      <c r="M80" s="850"/>
      <c r="N80" s="229"/>
      <c r="O80" s="588">
        <f>ROUNDUP(B77/O77*60,1)</f>
        <v>13.5</v>
      </c>
      <c r="P80" s="230" t="s">
        <v>282</v>
      </c>
      <c r="Q80" s="231"/>
      <c r="R80" s="231"/>
      <c r="U80" s="76"/>
      <c r="V80" s="76"/>
    </row>
    <row r="81" spans="1:22" ht="18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</row>
    <row r="82" spans="1:22" ht="20.25">
      <c r="A82" s="76"/>
      <c r="B82" s="76"/>
      <c r="C82" s="76"/>
      <c r="D82" s="76"/>
      <c r="E82" s="76"/>
      <c r="F82" s="76"/>
      <c r="G82" s="76"/>
      <c r="H82" s="76"/>
      <c r="I82"/>
      <c r="J82"/>
      <c r="K82"/>
      <c r="L82"/>
      <c r="M82"/>
      <c r="N82"/>
      <c r="O82" s="232">
        <f>+O80*3.28</f>
        <v>44.279999999999994</v>
      </c>
      <c r="P82" s="230" t="s">
        <v>307</v>
      </c>
      <c r="Q82" s="76"/>
      <c r="R82" s="76"/>
      <c r="S82" s="76"/>
      <c r="T82" s="76"/>
      <c r="U82" s="76"/>
      <c r="V82" s="76"/>
    </row>
    <row r="83" spans="1:52" ht="18">
      <c r="A83" s="76"/>
      <c r="B83" s="76"/>
      <c r="C83" s="76"/>
      <c r="D83" s="76"/>
      <c r="E83" s="76"/>
      <c r="F83" s="76"/>
      <c r="G83" s="76"/>
      <c r="H83" s="76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8">
      <c r="A84" s="76"/>
      <c r="B84" s="76"/>
      <c r="C84" s="76"/>
      <c r="D84" s="76"/>
      <c r="E84" s="76"/>
      <c r="F84" s="76"/>
      <c r="G84" s="76"/>
      <c r="H84" s="76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8">
      <c r="A85" s="76"/>
      <c r="B85" s="76"/>
      <c r="C85" s="76"/>
      <c r="D85" s="76"/>
      <c r="E85" s="76"/>
      <c r="F85" s="76"/>
      <c r="G85" s="76"/>
      <c r="H85" s="7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22" ht="18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1:22" ht="18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1:22" ht="18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1:22" ht="18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1:22" ht="18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1:22" ht="18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1:22" ht="18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1:22" ht="18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1:22" ht="18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</sheetData>
  <mergeCells count="75">
    <mergeCell ref="O75:R76"/>
    <mergeCell ref="C19:E19"/>
    <mergeCell ref="C20:E20"/>
    <mergeCell ref="K49:N49"/>
    <mergeCell ref="K33:P33"/>
    <mergeCell ref="K41:P41"/>
    <mergeCell ref="K39:P39"/>
    <mergeCell ref="K40:P40"/>
    <mergeCell ref="K71:L71"/>
    <mergeCell ref="K72:L72"/>
    <mergeCell ref="I80:M80"/>
    <mergeCell ref="A78:F78"/>
    <mergeCell ref="B28:F28"/>
    <mergeCell ref="B29:F29"/>
    <mergeCell ref="B30:F30"/>
    <mergeCell ref="B31:F31"/>
    <mergeCell ref="E47:G47"/>
    <mergeCell ref="E46:G46"/>
    <mergeCell ref="K37:P37"/>
    <mergeCell ref="K38:P38"/>
    <mergeCell ref="Q77:R77"/>
    <mergeCell ref="K57:L57"/>
    <mergeCell ref="K64:L64"/>
    <mergeCell ref="K65:L65"/>
    <mergeCell ref="K58:L58"/>
    <mergeCell ref="K59:L59"/>
    <mergeCell ref="K60:L60"/>
    <mergeCell ref="K61:L61"/>
    <mergeCell ref="K77:L77"/>
    <mergeCell ref="K70:L70"/>
    <mergeCell ref="A79:F79"/>
    <mergeCell ref="K26:P26"/>
    <mergeCell ref="K17:P17"/>
    <mergeCell ref="K18:P18"/>
    <mergeCell ref="K19:P19"/>
    <mergeCell ref="K25:P25"/>
    <mergeCell ref="K34:P34"/>
    <mergeCell ref="H49:J49"/>
    <mergeCell ref="K35:P35"/>
    <mergeCell ref="K36:P36"/>
    <mergeCell ref="L9:O9"/>
    <mergeCell ref="B32:F32"/>
    <mergeCell ref="B33:F33"/>
    <mergeCell ref="B12:F12"/>
    <mergeCell ref="B13:F13"/>
    <mergeCell ref="B14:F14"/>
    <mergeCell ref="B15:F15"/>
    <mergeCell ref="L10:O10"/>
    <mergeCell ref="K27:P27"/>
    <mergeCell ref="L11:O11"/>
    <mergeCell ref="B8:F8"/>
    <mergeCell ref="B9:F9"/>
    <mergeCell ref="B10:F10"/>
    <mergeCell ref="B11:F11"/>
    <mergeCell ref="L8:O8"/>
    <mergeCell ref="Q78:R78"/>
    <mergeCell ref="O77:P77"/>
    <mergeCell ref="O78:P78"/>
    <mergeCell ref="K51:L51"/>
    <mergeCell ref="K52:L52"/>
    <mergeCell ref="K53:L53"/>
    <mergeCell ref="K54:L54"/>
    <mergeCell ref="K55:L55"/>
    <mergeCell ref="K56:L56"/>
    <mergeCell ref="K50:L50"/>
    <mergeCell ref="K74:L74"/>
    <mergeCell ref="K75:L75"/>
    <mergeCell ref="K62:L62"/>
    <mergeCell ref="K63:L63"/>
    <mergeCell ref="K76:L76"/>
    <mergeCell ref="K66:L66"/>
    <mergeCell ref="K67:L67"/>
    <mergeCell ref="K68:L68"/>
    <mergeCell ref="K69:L69"/>
    <mergeCell ref="K73:L73"/>
  </mergeCells>
  <printOptions/>
  <pageMargins left="0.75" right="0.75" top="1" bottom="1" header="0.5" footer="0.5"/>
  <pageSetup cellComments="asDisplayed" horizontalDpi="600" verticalDpi="600" orientation="landscape" scale="45" r:id="rId3"/>
  <headerFooter alignWithMargins="0">
    <oddFooter>&amp;LFichier : &amp;F
Onglet : &amp;A
Page &amp;P de &amp;N&amp;CMine-laboratoire
Val-d'Or&amp;R&amp;D
&amp;T</oddFooter>
  </headerFooter>
  <rowBreaks count="1" manualBreakCount="1">
    <brk id="43" max="2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69"/>
  <sheetViews>
    <sheetView tabSelected="1" zoomScale="50" zoomScaleNormal="50" workbookViewId="0" topLeftCell="A1">
      <selection activeCell="A9" sqref="A9"/>
    </sheetView>
  </sheetViews>
  <sheetFormatPr defaultColWidth="9.140625" defaultRowHeight="12.75"/>
  <cols>
    <col min="1" max="1" width="16.57421875" style="140" customWidth="1"/>
    <col min="2" max="2" width="19.28125" style="140" customWidth="1"/>
    <col min="3" max="3" width="21.57421875" style="140" customWidth="1"/>
    <col min="4" max="4" width="17.00390625" style="140" customWidth="1"/>
    <col min="5" max="5" width="18.57421875" style="140" customWidth="1"/>
    <col min="6" max="6" width="14.8515625" style="140" customWidth="1"/>
    <col min="7" max="7" width="20.421875" style="140" customWidth="1"/>
    <col min="8" max="8" width="14.28125" style="140" customWidth="1"/>
    <col min="9" max="9" width="14.00390625" style="140" customWidth="1"/>
    <col min="10" max="10" width="15.7109375" style="140" customWidth="1"/>
    <col min="11" max="11" width="15.140625" style="140" customWidth="1"/>
    <col min="12" max="12" width="13.7109375" style="140" customWidth="1"/>
    <col min="13" max="13" width="11.28125" style="140" customWidth="1"/>
    <col min="14" max="14" width="15.8515625" style="140" customWidth="1"/>
    <col min="15" max="15" width="14.57421875" style="140" customWidth="1"/>
    <col min="16" max="16" width="11.00390625" style="140" customWidth="1"/>
    <col min="17" max="17" width="12.00390625" style="140" customWidth="1"/>
    <col min="18" max="18" width="9.140625" style="140" customWidth="1"/>
    <col min="19" max="19" width="9.8515625" style="140" bestFit="1" customWidth="1"/>
    <col min="20" max="20" width="8.00390625" style="140" customWidth="1"/>
    <col min="21" max="21" width="1.421875" style="140" customWidth="1"/>
    <col min="22" max="16384" width="9.140625" style="140" customWidth="1"/>
  </cols>
  <sheetData>
    <row r="1" ht="18"/>
    <row r="2" ht="31.5">
      <c r="A2" s="285" t="s">
        <v>111</v>
      </c>
    </row>
    <row r="3" spans="1:15" ht="31.5">
      <c r="A3" s="286" t="s">
        <v>329</v>
      </c>
      <c r="O3" s="381" t="s">
        <v>436</v>
      </c>
    </row>
    <row r="4" ht="22.5">
      <c r="A4" s="139"/>
    </row>
    <row r="5" spans="1:21" ht="18">
      <c r="A5" s="141"/>
      <c r="B5" s="142"/>
      <c r="C5" s="142"/>
      <c r="D5" s="142"/>
      <c r="E5" s="142"/>
      <c r="F5" s="142"/>
      <c r="G5" s="142"/>
      <c r="H5" s="142"/>
      <c r="I5" s="143"/>
      <c r="K5" s="156"/>
      <c r="L5" s="157"/>
      <c r="M5" s="157"/>
      <c r="N5" s="157"/>
      <c r="O5" s="157"/>
      <c r="P5" s="157"/>
      <c r="Q5" s="157"/>
      <c r="R5" s="157"/>
      <c r="S5" s="157"/>
      <c r="T5" s="143"/>
      <c r="U5" s="144"/>
    </row>
    <row r="6" spans="1:22" ht="23.25">
      <c r="A6" s="116" t="s">
        <v>65</v>
      </c>
      <c r="B6" s="146"/>
      <c r="C6" s="146"/>
      <c r="D6" s="146"/>
      <c r="E6" s="146"/>
      <c r="F6" s="146"/>
      <c r="G6" s="880" t="s">
        <v>339</v>
      </c>
      <c r="H6" s="881"/>
      <c r="I6" s="147"/>
      <c r="J6" s="76"/>
      <c r="K6" s="148"/>
      <c r="L6" s="99" t="s">
        <v>317</v>
      </c>
      <c r="M6" s="146"/>
      <c r="N6" s="146"/>
      <c r="O6" s="146"/>
      <c r="P6" s="146"/>
      <c r="Q6" s="146"/>
      <c r="R6" s="146"/>
      <c r="S6" s="146"/>
      <c r="T6" s="149"/>
      <c r="U6" s="146"/>
      <c r="V6" s="76"/>
    </row>
    <row r="7" spans="1:22" ht="20.25">
      <c r="A7" s="145"/>
      <c r="B7" s="146"/>
      <c r="C7" s="146"/>
      <c r="D7" s="146"/>
      <c r="E7" s="146"/>
      <c r="F7" s="146"/>
      <c r="G7" s="174" t="s">
        <v>312</v>
      </c>
      <c r="H7" s="175" t="s">
        <v>313</v>
      </c>
      <c r="I7" s="147"/>
      <c r="J7" s="76"/>
      <c r="K7" s="148"/>
      <c r="L7" s="146"/>
      <c r="M7" s="146"/>
      <c r="N7" s="146"/>
      <c r="O7" s="146"/>
      <c r="P7" s="146"/>
      <c r="Q7" s="322" t="s">
        <v>2</v>
      </c>
      <c r="R7" s="146"/>
      <c r="S7" s="146"/>
      <c r="T7" s="149"/>
      <c r="U7" s="146"/>
      <c r="V7" s="76"/>
    </row>
    <row r="8" spans="1:22" ht="18.75" thickBot="1">
      <c r="A8" s="148"/>
      <c r="B8" s="146"/>
      <c r="C8" s="146"/>
      <c r="D8" s="146"/>
      <c r="E8" s="146"/>
      <c r="F8" s="146"/>
      <c r="G8" s="176">
        <v>54</v>
      </c>
      <c r="H8" s="176">
        <v>102</v>
      </c>
      <c r="I8" s="147"/>
      <c r="J8" s="76"/>
      <c r="K8" s="148"/>
      <c r="L8" s="146"/>
      <c r="M8" s="822" t="s">
        <v>371</v>
      </c>
      <c r="N8" s="823"/>
      <c r="O8" s="823"/>
      <c r="P8" s="824"/>
      <c r="Q8" s="150">
        <v>0.5</v>
      </c>
      <c r="R8" s="146"/>
      <c r="S8" s="146"/>
      <c r="T8" s="149"/>
      <c r="U8" s="146"/>
      <c r="V8" s="76"/>
    </row>
    <row r="9" spans="1:22" ht="18.75" thickTop="1">
      <c r="A9" s="148"/>
      <c r="B9" s="833" t="s">
        <v>325</v>
      </c>
      <c r="C9" s="833"/>
      <c r="D9" s="833"/>
      <c r="E9" s="833"/>
      <c r="F9" s="833"/>
      <c r="G9" s="150">
        <v>0.4</v>
      </c>
      <c r="H9" s="177">
        <v>0.4</v>
      </c>
      <c r="I9" s="147"/>
      <c r="J9" s="76"/>
      <c r="K9" s="148"/>
      <c r="L9" s="146"/>
      <c r="M9" s="822" t="s">
        <v>298</v>
      </c>
      <c r="N9" s="823"/>
      <c r="O9" s="823"/>
      <c r="P9" s="824"/>
      <c r="Q9" s="150">
        <v>0.4</v>
      </c>
      <c r="R9" s="146"/>
      <c r="S9" s="146"/>
      <c r="T9" s="149"/>
      <c r="V9" s="76"/>
    </row>
    <row r="10" spans="1:20" ht="18">
      <c r="A10" s="148"/>
      <c r="B10" s="834" t="s">
        <v>372</v>
      </c>
      <c r="C10" s="834"/>
      <c r="D10" s="834"/>
      <c r="E10" s="834"/>
      <c r="F10" s="834"/>
      <c r="G10" s="271">
        <v>1.5</v>
      </c>
      <c r="H10" s="271">
        <v>2.4</v>
      </c>
      <c r="I10" s="147"/>
      <c r="J10" s="76"/>
      <c r="K10" s="148"/>
      <c r="L10" s="146"/>
      <c r="M10" s="836"/>
      <c r="N10" s="837"/>
      <c r="O10" s="837"/>
      <c r="P10" s="838"/>
      <c r="Q10" s="150"/>
      <c r="R10" s="146"/>
      <c r="S10" s="146"/>
      <c r="T10" s="149"/>
    </row>
    <row r="11" spans="1:20" ht="18">
      <c r="A11" s="148"/>
      <c r="B11" s="833" t="s">
        <v>326</v>
      </c>
      <c r="C11" s="833"/>
      <c r="D11" s="833"/>
      <c r="E11" s="833"/>
      <c r="F11" s="833"/>
      <c r="G11" s="150">
        <v>0.4</v>
      </c>
      <c r="H11" s="150">
        <v>0.8</v>
      </c>
      <c r="I11" s="147"/>
      <c r="J11" s="76"/>
      <c r="K11" s="148"/>
      <c r="L11" s="146"/>
      <c r="M11" s="836"/>
      <c r="N11" s="837"/>
      <c r="O11" s="837"/>
      <c r="P11" s="838"/>
      <c r="Q11" s="150"/>
      <c r="R11" s="146"/>
      <c r="S11" s="146"/>
      <c r="T11" s="149"/>
    </row>
    <row r="12" spans="1:20" ht="20.25">
      <c r="A12" s="148"/>
      <c r="B12" s="833" t="s">
        <v>423</v>
      </c>
      <c r="C12" s="833"/>
      <c r="D12" s="833"/>
      <c r="E12" s="833"/>
      <c r="F12" s="833"/>
      <c r="G12" s="150">
        <v>0.5</v>
      </c>
      <c r="H12" s="150">
        <v>0.5</v>
      </c>
      <c r="I12" s="147"/>
      <c r="J12" s="76"/>
      <c r="K12" s="148"/>
      <c r="L12" s="146"/>
      <c r="M12" s="146"/>
      <c r="N12" s="146"/>
      <c r="O12" s="146"/>
      <c r="P12" s="146"/>
      <c r="Q12" s="123">
        <f>SUM(Q8:Q11)</f>
        <v>0.9</v>
      </c>
      <c r="R12" s="120" t="s">
        <v>145</v>
      </c>
      <c r="S12" s="118"/>
      <c r="T12" s="149"/>
    </row>
    <row r="13" spans="1:20" ht="20.25">
      <c r="A13" s="148"/>
      <c r="B13" s="833" t="s">
        <v>330</v>
      </c>
      <c r="C13" s="833"/>
      <c r="D13" s="833"/>
      <c r="E13" s="833"/>
      <c r="F13" s="833"/>
      <c r="G13" s="150">
        <v>1.4</v>
      </c>
      <c r="H13" s="150">
        <v>2</v>
      </c>
      <c r="I13" s="147"/>
      <c r="J13" s="76"/>
      <c r="K13" s="153"/>
      <c r="L13" s="154"/>
      <c r="M13" s="154"/>
      <c r="N13" s="154"/>
      <c r="O13" s="154"/>
      <c r="P13" s="154"/>
      <c r="Q13" s="124"/>
      <c r="R13" s="126" t="s">
        <v>336</v>
      </c>
      <c r="S13" s="124"/>
      <c r="T13" s="155"/>
    </row>
    <row r="14" spans="1:20" ht="18">
      <c r="A14" s="148"/>
      <c r="B14" s="833" t="s">
        <v>331</v>
      </c>
      <c r="C14" s="833"/>
      <c r="D14" s="833"/>
      <c r="E14" s="833"/>
      <c r="F14" s="833"/>
      <c r="G14" s="151">
        <v>0.7</v>
      </c>
      <c r="H14" s="151">
        <v>0.8</v>
      </c>
      <c r="I14" s="147"/>
      <c r="J14" s="76"/>
      <c r="K14" s="156"/>
      <c r="L14" s="157"/>
      <c r="M14" s="157"/>
      <c r="N14" s="157"/>
      <c r="O14" s="157"/>
      <c r="P14" s="157"/>
      <c r="Q14" s="157"/>
      <c r="R14" s="157"/>
      <c r="S14" s="157"/>
      <c r="T14" s="159"/>
    </row>
    <row r="15" spans="1:22" ht="23.25">
      <c r="A15" s="148"/>
      <c r="B15" s="835"/>
      <c r="C15" s="835"/>
      <c r="D15" s="835"/>
      <c r="E15" s="835"/>
      <c r="F15" s="835"/>
      <c r="G15" s="151"/>
      <c r="H15" s="151"/>
      <c r="I15" s="147"/>
      <c r="J15" s="76"/>
      <c r="K15" s="117"/>
      <c r="L15" s="99" t="s">
        <v>377</v>
      </c>
      <c r="M15" s="146"/>
      <c r="N15" s="146"/>
      <c r="O15" s="146"/>
      <c r="P15" s="146"/>
      <c r="Q15" s="146"/>
      <c r="R15" s="146"/>
      <c r="T15" s="147"/>
      <c r="V15" s="76"/>
    </row>
    <row r="16" spans="1:22" ht="23.25">
      <c r="A16" s="148"/>
      <c r="B16" s="835"/>
      <c r="C16" s="835"/>
      <c r="D16" s="835"/>
      <c r="E16" s="835"/>
      <c r="F16" s="835"/>
      <c r="G16" s="151"/>
      <c r="H16" s="151"/>
      <c r="I16" s="147"/>
      <c r="J16" s="76"/>
      <c r="K16" s="127"/>
      <c r="L16" s="288"/>
      <c r="M16" s="146"/>
      <c r="N16" s="146"/>
      <c r="O16" s="146"/>
      <c r="P16" s="146"/>
      <c r="Q16" s="146"/>
      <c r="R16" s="322" t="s">
        <v>2</v>
      </c>
      <c r="T16" s="147"/>
      <c r="U16" s="146"/>
      <c r="V16" s="76"/>
    </row>
    <row r="17" spans="1:22" ht="20.25">
      <c r="A17" s="148"/>
      <c r="B17" s="146"/>
      <c r="C17" s="146"/>
      <c r="D17" s="76"/>
      <c r="E17" s="146"/>
      <c r="F17" s="122" t="s">
        <v>373</v>
      </c>
      <c r="G17" s="123">
        <f>SUM(G9:G14)</f>
        <v>4.8999999999999995</v>
      </c>
      <c r="H17" s="123">
        <f>SUM(H9:H14)</f>
        <v>6.8999999999999995</v>
      </c>
      <c r="I17" s="503" t="s">
        <v>374</v>
      </c>
      <c r="J17" s="76"/>
      <c r="K17" s="148"/>
      <c r="L17" s="833" t="s">
        <v>323</v>
      </c>
      <c r="M17" s="833"/>
      <c r="N17" s="833"/>
      <c r="O17" s="833"/>
      <c r="P17" s="833"/>
      <c r="Q17" s="833"/>
      <c r="R17" s="150">
        <v>0.7</v>
      </c>
      <c r="T17" s="147"/>
      <c r="U17" s="146"/>
      <c r="V17" s="76"/>
    </row>
    <row r="18" spans="1:20" ht="20.25">
      <c r="A18" s="148"/>
      <c r="B18" s="583"/>
      <c r="G18" s="118"/>
      <c r="H18" s="146"/>
      <c r="I18" s="147"/>
      <c r="J18" s="76"/>
      <c r="K18" s="148"/>
      <c r="L18" s="833" t="s">
        <v>324</v>
      </c>
      <c r="M18" s="833"/>
      <c r="N18" s="833"/>
      <c r="O18" s="833"/>
      <c r="P18" s="833"/>
      <c r="Q18" s="833"/>
      <c r="R18" s="150">
        <v>0.8</v>
      </c>
      <c r="T18" s="147"/>
    </row>
    <row r="19" spans="1:22" ht="20.25" customHeight="1">
      <c r="A19" s="148"/>
      <c r="B19" s="119"/>
      <c r="C19" s="866" t="s">
        <v>148</v>
      </c>
      <c r="D19" s="878"/>
      <c r="E19" s="879"/>
      <c r="F19" s="125">
        <v>1.2</v>
      </c>
      <c r="G19" s="118"/>
      <c r="H19" s="146"/>
      <c r="I19" s="147"/>
      <c r="J19" s="76"/>
      <c r="K19" s="148"/>
      <c r="L19" s="835"/>
      <c r="M19" s="835"/>
      <c r="N19" s="835"/>
      <c r="O19" s="835"/>
      <c r="P19" s="835"/>
      <c r="Q19" s="835"/>
      <c r="R19" s="151"/>
      <c r="T19" s="147"/>
      <c r="U19" s="146"/>
      <c r="V19" s="76"/>
    </row>
    <row r="20" spans="1:22" ht="20.25">
      <c r="A20" s="604"/>
      <c r="H20" s="146"/>
      <c r="I20" s="147"/>
      <c r="J20" s="76"/>
      <c r="K20" s="148"/>
      <c r="L20" s="77"/>
      <c r="M20" s="146"/>
      <c r="N20" s="146"/>
      <c r="O20" s="76"/>
      <c r="P20" s="76"/>
      <c r="Q20" s="122" t="s">
        <v>378</v>
      </c>
      <c r="R20" s="123">
        <f>SUM(R17:R19)</f>
        <v>1.5</v>
      </c>
      <c r="S20" s="21" t="s">
        <v>2</v>
      </c>
      <c r="T20" s="147"/>
      <c r="U20" s="146"/>
      <c r="V20" s="76"/>
    </row>
    <row r="21" spans="1:22" ht="20.25">
      <c r="A21" s="148"/>
      <c r="B21" s="119"/>
      <c r="C21" s="582" t="s">
        <v>295</v>
      </c>
      <c r="D21" s="100">
        <f>+G8</f>
        <v>54</v>
      </c>
      <c r="E21" s="101" t="s">
        <v>35</v>
      </c>
      <c r="F21" s="123">
        <f>+$G$17/F19</f>
        <v>4.083333333333333</v>
      </c>
      <c r="G21" s="120" t="s">
        <v>335</v>
      </c>
      <c r="H21" s="146"/>
      <c r="I21" s="147"/>
      <c r="J21" s="76"/>
      <c r="K21" s="153"/>
      <c r="L21" s="228"/>
      <c r="M21" s="228"/>
      <c r="N21" s="228"/>
      <c r="O21" s="228"/>
      <c r="P21" s="228"/>
      <c r="Q21" s="228"/>
      <c r="R21" s="228"/>
      <c r="S21" s="228"/>
      <c r="T21" s="158"/>
      <c r="U21" s="146"/>
      <c r="V21" s="76"/>
    </row>
    <row r="22" spans="1:22" ht="20.25">
      <c r="A22" s="148"/>
      <c r="B22" s="146"/>
      <c r="C22" s="122" t="s">
        <v>430</v>
      </c>
      <c r="D22" s="100">
        <f>+H8</f>
        <v>102</v>
      </c>
      <c r="E22" s="101" t="s">
        <v>35</v>
      </c>
      <c r="F22" s="123">
        <f>+$H$17/F19</f>
        <v>5.75</v>
      </c>
      <c r="G22" s="120" t="s">
        <v>335</v>
      </c>
      <c r="H22" s="146"/>
      <c r="I22" s="147"/>
      <c r="J22" s="76"/>
      <c r="K22" s="156"/>
      <c r="L22" s="157"/>
      <c r="M22" s="157"/>
      <c r="N22" s="157"/>
      <c r="O22" s="157"/>
      <c r="P22" s="157"/>
      <c r="Q22" s="157"/>
      <c r="R22" s="157"/>
      <c r="S22" s="157"/>
      <c r="T22" s="143"/>
      <c r="U22" s="146"/>
      <c r="V22" s="76"/>
    </row>
    <row r="23" spans="1:22" ht="23.25">
      <c r="A23" s="148"/>
      <c r="B23" s="146"/>
      <c r="C23" s="146"/>
      <c r="D23" s="146"/>
      <c r="E23" s="146"/>
      <c r="F23" s="146"/>
      <c r="G23" s="146"/>
      <c r="H23" s="146"/>
      <c r="I23" s="147"/>
      <c r="J23" s="76"/>
      <c r="K23" s="117"/>
      <c r="L23" s="99" t="s">
        <v>383</v>
      </c>
      <c r="S23" s="146"/>
      <c r="T23" s="149"/>
      <c r="U23" s="146"/>
      <c r="V23" s="76"/>
    </row>
    <row r="24" spans="1:22" ht="23.25">
      <c r="A24" s="153"/>
      <c r="B24" s="154"/>
      <c r="C24" s="154"/>
      <c r="D24" s="154"/>
      <c r="E24" s="154"/>
      <c r="F24" s="154"/>
      <c r="G24" s="154"/>
      <c r="H24" s="154"/>
      <c r="I24" s="158"/>
      <c r="J24" s="76"/>
      <c r="K24" s="127"/>
      <c r="L24" s="287" t="s">
        <v>319</v>
      </c>
      <c r="M24" s="146"/>
      <c r="N24" s="146"/>
      <c r="O24" s="146"/>
      <c r="P24" s="146"/>
      <c r="Q24" s="146"/>
      <c r="R24" s="322" t="s">
        <v>2</v>
      </c>
      <c r="S24" s="146"/>
      <c r="T24" s="149"/>
      <c r="U24" s="146"/>
      <c r="V24" s="76"/>
    </row>
    <row r="25" spans="1:22" ht="18">
      <c r="A25" s="141"/>
      <c r="B25" s="142"/>
      <c r="C25" s="142"/>
      <c r="D25" s="142"/>
      <c r="E25" s="142"/>
      <c r="F25" s="142"/>
      <c r="G25" s="142"/>
      <c r="H25" s="142"/>
      <c r="I25" s="143"/>
      <c r="K25" s="148"/>
      <c r="L25" s="833" t="s">
        <v>433</v>
      </c>
      <c r="M25" s="833"/>
      <c r="N25" s="833"/>
      <c r="O25" s="833"/>
      <c r="P25" s="833"/>
      <c r="Q25" s="833"/>
      <c r="R25" s="150">
        <v>1</v>
      </c>
      <c r="S25" s="146"/>
      <c r="T25" s="149"/>
      <c r="U25" s="146"/>
      <c r="V25" s="76"/>
    </row>
    <row r="26" spans="1:20" ht="23.25">
      <c r="A26" s="116" t="s">
        <v>296</v>
      </c>
      <c r="B26" s="144"/>
      <c r="C26" s="146"/>
      <c r="D26" s="146"/>
      <c r="E26" s="146"/>
      <c r="F26" s="146"/>
      <c r="G26" s="146"/>
      <c r="H26" s="146"/>
      <c r="I26" s="149"/>
      <c r="K26" s="148"/>
      <c r="L26" s="822" t="s">
        <v>334</v>
      </c>
      <c r="M26" s="823"/>
      <c r="N26" s="823"/>
      <c r="O26" s="823"/>
      <c r="P26" s="823"/>
      <c r="Q26" s="824"/>
      <c r="R26" s="150">
        <v>1.5</v>
      </c>
      <c r="S26" s="146"/>
      <c r="T26" s="149"/>
    </row>
    <row r="27" spans="1:20" ht="20.25">
      <c r="A27" s="148"/>
      <c r="B27" s="77"/>
      <c r="C27" s="146"/>
      <c r="D27" s="146"/>
      <c r="E27" s="146"/>
      <c r="F27" s="146"/>
      <c r="G27" s="146"/>
      <c r="H27" s="322" t="s">
        <v>2</v>
      </c>
      <c r="I27" s="149"/>
      <c r="K27" s="148"/>
      <c r="L27" s="835"/>
      <c r="M27" s="835"/>
      <c r="N27" s="835"/>
      <c r="O27" s="835"/>
      <c r="P27" s="835"/>
      <c r="Q27" s="835"/>
      <c r="R27" s="151"/>
      <c r="S27" s="146"/>
      <c r="T27" s="149"/>
    </row>
    <row r="28" spans="1:20" ht="20.25">
      <c r="A28" s="148"/>
      <c r="B28" s="822" t="s">
        <v>347</v>
      </c>
      <c r="C28" s="823"/>
      <c r="D28" s="823"/>
      <c r="E28" s="823"/>
      <c r="F28" s="823"/>
      <c r="G28" s="824"/>
      <c r="H28" s="150">
        <v>0.4</v>
      </c>
      <c r="I28" s="149"/>
      <c r="K28" s="148"/>
      <c r="L28" s="77"/>
      <c r="M28" s="146"/>
      <c r="N28" s="146"/>
      <c r="O28" s="76"/>
      <c r="P28" s="76"/>
      <c r="Q28" s="122" t="s">
        <v>380</v>
      </c>
      <c r="R28" s="123">
        <f>SUM(R25:R27)</f>
        <v>2.5</v>
      </c>
      <c r="S28" s="120" t="s">
        <v>2</v>
      </c>
      <c r="T28" s="149"/>
    </row>
    <row r="29" spans="1:20" ht="20.25">
      <c r="A29" s="148"/>
      <c r="B29" s="822" t="s">
        <v>79</v>
      </c>
      <c r="C29" s="823"/>
      <c r="D29" s="823"/>
      <c r="E29" s="823"/>
      <c r="F29" s="823"/>
      <c r="G29" s="824"/>
      <c r="H29" s="150">
        <v>1.5</v>
      </c>
      <c r="I29" s="149"/>
      <c r="K29" s="153"/>
      <c r="L29" s="228"/>
      <c r="M29" s="228"/>
      <c r="N29" s="228"/>
      <c r="O29" s="228"/>
      <c r="P29" s="228"/>
      <c r="Q29" s="228"/>
      <c r="R29" s="228"/>
      <c r="S29" s="124"/>
      <c r="T29" s="155"/>
    </row>
    <row r="30" spans="1:20" ht="18">
      <c r="A30" s="148"/>
      <c r="B30" s="822" t="s">
        <v>332</v>
      </c>
      <c r="C30" s="823"/>
      <c r="D30" s="823"/>
      <c r="E30" s="823"/>
      <c r="F30" s="823"/>
      <c r="G30" s="824"/>
      <c r="H30" s="150">
        <v>2</v>
      </c>
      <c r="I30" s="149"/>
      <c r="K30" s="156"/>
      <c r="L30" s="157"/>
      <c r="M30" s="157"/>
      <c r="N30" s="157"/>
      <c r="O30" s="157"/>
      <c r="P30" s="157"/>
      <c r="Q30" s="157"/>
      <c r="R30" s="157"/>
      <c r="S30" s="157"/>
      <c r="T30" s="143"/>
    </row>
    <row r="31" spans="1:20" ht="23.25">
      <c r="A31" s="148"/>
      <c r="B31" s="822" t="s">
        <v>333</v>
      </c>
      <c r="C31" s="823"/>
      <c r="D31" s="823"/>
      <c r="E31" s="823"/>
      <c r="F31" s="823"/>
      <c r="G31" s="824"/>
      <c r="H31" s="150">
        <v>0.8</v>
      </c>
      <c r="I31" s="149"/>
      <c r="K31" s="148"/>
      <c r="L31" s="99" t="s">
        <v>381</v>
      </c>
      <c r="M31" s="146"/>
      <c r="N31" s="146"/>
      <c r="O31" s="146"/>
      <c r="P31" s="146"/>
      <c r="Q31" s="146"/>
      <c r="R31" s="146"/>
      <c r="S31" s="146"/>
      <c r="T31" s="149"/>
    </row>
    <row r="32" spans="1:20" ht="23.25">
      <c r="A32" s="148"/>
      <c r="B32" s="836"/>
      <c r="C32" s="837"/>
      <c r="D32" s="837"/>
      <c r="E32" s="837"/>
      <c r="F32" s="837"/>
      <c r="G32" s="838"/>
      <c r="H32" s="150"/>
      <c r="I32" s="149"/>
      <c r="K32" s="148"/>
      <c r="L32" s="287" t="s">
        <v>337</v>
      </c>
      <c r="M32" s="146"/>
      <c r="N32" s="146"/>
      <c r="O32" s="146"/>
      <c r="P32" s="146"/>
      <c r="Q32" s="146"/>
      <c r="R32" s="146"/>
      <c r="S32" s="322" t="s">
        <v>2</v>
      </c>
      <c r="T32" s="149"/>
    </row>
    <row r="33" spans="1:20" ht="18">
      <c r="A33" s="148"/>
      <c r="B33" s="836"/>
      <c r="C33" s="837"/>
      <c r="D33" s="837"/>
      <c r="E33" s="837"/>
      <c r="F33" s="837"/>
      <c r="G33" s="838"/>
      <c r="H33" s="151"/>
      <c r="I33" s="149"/>
      <c r="K33" s="148"/>
      <c r="L33" s="822" t="s">
        <v>384</v>
      </c>
      <c r="M33" s="823"/>
      <c r="N33" s="823"/>
      <c r="O33" s="823"/>
      <c r="P33" s="823"/>
      <c r="Q33" s="823"/>
      <c r="R33" s="824"/>
      <c r="S33" s="150">
        <v>1</v>
      </c>
      <c r="T33" s="149"/>
    </row>
    <row r="34" spans="1:20" ht="20.25">
      <c r="A34" s="148"/>
      <c r="B34" s="146"/>
      <c r="C34" s="146"/>
      <c r="D34" s="144"/>
      <c r="E34" s="146"/>
      <c r="F34" s="146"/>
      <c r="G34" s="122" t="s">
        <v>297</v>
      </c>
      <c r="H34" s="123">
        <f>SUM(H28:H33)</f>
        <v>4.7</v>
      </c>
      <c r="I34" s="149"/>
      <c r="K34" s="148"/>
      <c r="L34" s="822" t="s">
        <v>320</v>
      </c>
      <c r="M34" s="823"/>
      <c r="N34" s="823"/>
      <c r="O34" s="823"/>
      <c r="P34" s="823"/>
      <c r="Q34" s="823"/>
      <c r="R34" s="824"/>
      <c r="S34" s="150">
        <v>2</v>
      </c>
      <c r="T34" s="149"/>
    </row>
    <row r="35" spans="1:20" ht="18">
      <c r="A35" s="153"/>
      <c r="B35" s="154"/>
      <c r="C35" s="154"/>
      <c r="D35" s="154"/>
      <c r="E35" s="154"/>
      <c r="F35" s="154"/>
      <c r="G35" s="154"/>
      <c r="H35" s="154"/>
      <c r="I35" s="155"/>
      <c r="K35" s="148"/>
      <c r="L35" s="822" t="s">
        <v>424</v>
      </c>
      <c r="M35" s="823"/>
      <c r="N35" s="823"/>
      <c r="O35" s="823"/>
      <c r="P35" s="823"/>
      <c r="Q35" s="823"/>
      <c r="R35" s="824"/>
      <c r="S35" s="150">
        <v>2</v>
      </c>
      <c r="T35" s="149"/>
    </row>
    <row r="36" spans="10:20" ht="18">
      <c r="J36" s="76"/>
      <c r="K36" s="148"/>
      <c r="L36" s="822" t="s">
        <v>376</v>
      </c>
      <c r="M36" s="823"/>
      <c r="N36" s="823"/>
      <c r="O36" s="823"/>
      <c r="P36" s="823"/>
      <c r="Q36" s="823"/>
      <c r="R36" s="824"/>
      <c r="S36" s="150">
        <v>1</v>
      </c>
      <c r="T36" s="149"/>
    </row>
    <row r="37" spans="10:20" ht="18">
      <c r="J37" s="76"/>
      <c r="K37" s="148"/>
      <c r="L37" s="822" t="s">
        <v>321</v>
      </c>
      <c r="M37" s="823"/>
      <c r="N37" s="823"/>
      <c r="O37" s="823"/>
      <c r="P37" s="823"/>
      <c r="Q37" s="823"/>
      <c r="R37" s="824"/>
      <c r="S37" s="150">
        <v>1</v>
      </c>
      <c r="T37" s="149"/>
    </row>
    <row r="38" spans="3:20" ht="18">
      <c r="C38" s="22"/>
      <c r="J38" s="76"/>
      <c r="K38" s="148"/>
      <c r="L38" s="822" t="s">
        <v>322</v>
      </c>
      <c r="M38" s="823"/>
      <c r="N38" s="823"/>
      <c r="O38" s="823"/>
      <c r="P38" s="823"/>
      <c r="Q38" s="823"/>
      <c r="R38" s="824"/>
      <c r="S38" s="150">
        <v>2</v>
      </c>
      <c r="T38" s="149"/>
    </row>
    <row r="39" spans="10:20" ht="18">
      <c r="J39" s="76"/>
      <c r="K39" s="148"/>
      <c r="L39" s="836"/>
      <c r="M39" s="837"/>
      <c r="N39" s="837"/>
      <c r="O39" s="837"/>
      <c r="P39" s="837"/>
      <c r="Q39" s="837"/>
      <c r="R39" s="838"/>
      <c r="S39" s="150"/>
      <c r="T39" s="149"/>
    </row>
    <row r="40" spans="10:20" ht="18">
      <c r="J40" s="76"/>
      <c r="K40" s="148"/>
      <c r="L40" s="836"/>
      <c r="M40" s="837"/>
      <c r="N40" s="837"/>
      <c r="O40" s="837"/>
      <c r="P40" s="837"/>
      <c r="Q40" s="837"/>
      <c r="R40" s="838"/>
      <c r="S40" s="151"/>
      <c r="T40" s="149"/>
    </row>
    <row r="41" spans="10:20" ht="20.25">
      <c r="J41" s="76"/>
      <c r="K41" s="148"/>
      <c r="L41" s="146"/>
      <c r="M41" s="146"/>
      <c r="N41" s="146"/>
      <c r="O41" s="146"/>
      <c r="P41" s="146"/>
      <c r="Q41" s="146"/>
      <c r="R41" s="582" t="s">
        <v>382</v>
      </c>
      <c r="S41" s="123">
        <f>SUM(S33:S40)</f>
        <v>9</v>
      </c>
      <c r="T41" s="603" t="s">
        <v>30</v>
      </c>
    </row>
    <row r="42" spans="10:20" ht="8.25" customHeight="1">
      <c r="J42" s="76"/>
      <c r="K42" s="153"/>
      <c r="L42" s="154"/>
      <c r="M42" s="154"/>
      <c r="N42" s="154"/>
      <c r="O42" s="154"/>
      <c r="P42" s="154"/>
      <c r="Q42" s="154"/>
      <c r="R42" s="124"/>
      <c r="S42" s="124"/>
      <c r="T42" s="158"/>
    </row>
    <row r="43" spans="1:35" ht="11.25" customHeight="1" thickBot="1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23" ht="10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</row>
    <row r="45" spans="1:23" ht="26.25">
      <c r="A45" s="289" t="s">
        <v>52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</row>
    <row r="46" spans="1:23" ht="18">
      <c r="A46" s="76"/>
      <c r="B46" s="76"/>
      <c r="C46" s="76"/>
      <c r="D46" s="76"/>
      <c r="E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</row>
    <row r="47" spans="1:23" ht="20.25">
      <c r="A47" s="161"/>
      <c r="B47" s="76"/>
      <c r="C47" s="854" t="s">
        <v>340</v>
      </c>
      <c r="D47" s="882"/>
      <c r="E47" s="814"/>
      <c r="F47" s="129">
        <f>+F19</f>
        <v>1.2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</row>
    <row r="48" spans="1:23" ht="20.25">
      <c r="A48" s="76"/>
      <c r="B48" s="76"/>
      <c r="C48" s="854" t="s">
        <v>341</v>
      </c>
      <c r="D48" s="882"/>
      <c r="E48" s="814"/>
      <c r="F48" s="121">
        <v>25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</row>
    <row r="49" spans="1:7" ht="18.75" thickBot="1">
      <c r="A49" s="76"/>
      <c r="B49" s="76"/>
      <c r="C49" s="76"/>
      <c r="D49" s="76"/>
      <c r="E49" s="76"/>
      <c r="F49" s="76"/>
      <c r="G49" s="76"/>
    </row>
    <row r="50" spans="1:23" ht="20.25">
      <c r="A50" s="119"/>
      <c r="B50" s="119"/>
      <c r="C50" s="130" t="s">
        <v>305</v>
      </c>
      <c r="D50" s="119"/>
      <c r="E50" s="130" t="s">
        <v>345</v>
      </c>
      <c r="F50" s="642" t="s">
        <v>343</v>
      </c>
      <c r="G50" s="130" t="s">
        <v>301</v>
      </c>
      <c r="H50" s="643" t="s">
        <v>31</v>
      </c>
      <c r="I50" s="888" t="s">
        <v>302</v>
      </c>
      <c r="J50" s="889"/>
      <c r="K50" s="890"/>
      <c r="L50" s="869" t="s">
        <v>303</v>
      </c>
      <c r="M50" s="870"/>
      <c r="N50" s="870"/>
      <c r="O50" s="871"/>
      <c r="T50" s="76"/>
      <c r="U50" s="76"/>
      <c r="V50" s="76"/>
      <c r="W50" s="76"/>
    </row>
    <row r="51" spans="1:22" ht="21" thickBot="1">
      <c r="A51" s="131" t="s">
        <v>385</v>
      </c>
      <c r="B51" s="542" t="s">
        <v>149</v>
      </c>
      <c r="C51" s="134" t="s">
        <v>33</v>
      </c>
      <c r="D51" s="131" t="s">
        <v>36</v>
      </c>
      <c r="E51" s="134" t="s">
        <v>342</v>
      </c>
      <c r="F51" s="644" t="s">
        <v>37</v>
      </c>
      <c r="G51" s="641" t="s">
        <v>437</v>
      </c>
      <c r="H51" s="543" t="s">
        <v>32</v>
      </c>
      <c r="I51" s="282" t="s">
        <v>79</v>
      </c>
      <c r="J51" s="283" t="s">
        <v>305</v>
      </c>
      <c r="K51" s="291" t="s">
        <v>301</v>
      </c>
      <c r="L51" s="820" t="s">
        <v>304</v>
      </c>
      <c r="M51" s="821"/>
      <c r="N51" s="144"/>
      <c r="O51" s="135"/>
      <c r="T51" s="76"/>
      <c r="U51" s="76"/>
      <c r="V51" s="76"/>
    </row>
    <row r="52" spans="1:22" ht="21" thickTop="1">
      <c r="A52" s="165">
        <v>16</v>
      </c>
      <c r="B52" s="178">
        <f>+G8</f>
        <v>54</v>
      </c>
      <c r="C52" s="165">
        <v>1</v>
      </c>
      <c r="D52" s="640">
        <f>+A52*F48</f>
        <v>400</v>
      </c>
      <c r="E52" s="165">
        <v>3</v>
      </c>
      <c r="F52" s="165">
        <v>5</v>
      </c>
      <c r="G52" s="165">
        <v>0</v>
      </c>
      <c r="H52" s="166">
        <f>IF(A52=0,0,(F48+0.2)/$F$47*A52)</f>
        <v>336</v>
      </c>
      <c r="I52" s="280">
        <f>$G$17*H52</f>
        <v>1646.3999999999999</v>
      </c>
      <c r="J52" s="166">
        <f>+C52*$Q$12*A52</f>
        <v>14.4</v>
      </c>
      <c r="K52" s="567">
        <f>+G52*$H$34</f>
        <v>0</v>
      </c>
      <c r="L52" s="872">
        <f>IF(A52&gt;0,$R$20*E52,0)</f>
        <v>4.5</v>
      </c>
      <c r="M52" s="873"/>
      <c r="N52" s="584" t="s">
        <v>426</v>
      </c>
      <c r="O52" s="163"/>
      <c r="P52" s="857" t="s">
        <v>427</v>
      </c>
      <c r="Q52" s="858"/>
      <c r="R52" s="858"/>
      <c r="S52" s="859"/>
      <c r="T52" s="76"/>
      <c r="U52" s="76"/>
      <c r="V52" s="76"/>
    </row>
    <row r="53" spans="1:22" ht="21" thickBot="1">
      <c r="A53" s="151">
        <v>4</v>
      </c>
      <c r="B53" s="162">
        <f>+H8</f>
        <v>102</v>
      </c>
      <c r="C53" s="151">
        <v>1</v>
      </c>
      <c r="D53" s="640">
        <f>+A53*F48</f>
        <v>100</v>
      </c>
      <c r="E53" s="151">
        <v>2</v>
      </c>
      <c r="F53" s="151">
        <v>2</v>
      </c>
      <c r="G53" s="151">
        <v>0</v>
      </c>
      <c r="H53" s="166">
        <f>IF(A53=0,0,(F48+0.2)/$F$47*A53)</f>
        <v>84</v>
      </c>
      <c r="I53" s="167">
        <f>$H$17*H53</f>
        <v>579.5999999999999</v>
      </c>
      <c r="J53" s="168">
        <f>+C53*$Q$12*A53</f>
        <v>3.6</v>
      </c>
      <c r="K53" s="568">
        <f>+G53*$H$34</f>
        <v>0</v>
      </c>
      <c r="L53" s="874">
        <f>IF(A53&gt;0,$R$20*E53,0)</f>
        <v>3</v>
      </c>
      <c r="M53" s="875"/>
      <c r="N53" s="132" t="s">
        <v>327</v>
      </c>
      <c r="O53" s="566" t="s">
        <v>386</v>
      </c>
      <c r="P53" s="860"/>
      <c r="Q53" s="861"/>
      <c r="R53" s="861"/>
      <c r="S53" s="862"/>
      <c r="T53" s="76"/>
      <c r="U53" s="76"/>
      <c r="V53" s="76"/>
    </row>
    <row r="54" spans="3:22" ht="21.75" thickBot="1" thickTop="1">
      <c r="C54" s="146"/>
      <c r="D54" s="160">
        <f>SUM(D52:D53)</f>
        <v>500</v>
      </c>
      <c r="E54" s="160">
        <f>SUM(E52:E53)</f>
        <v>5</v>
      </c>
      <c r="F54" s="160">
        <f>SUM(F52:F53)</f>
        <v>7</v>
      </c>
      <c r="I54" s="136">
        <f>SUM(I52:I53)</f>
        <v>2226</v>
      </c>
      <c r="J54" s="137">
        <f>SUM(J52:J53)</f>
        <v>18</v>
      </c>
      <c r="K54" s="137">
        <f>SUM(K52:K53)</f>
        <v>0</v>
      </c>
      <c r="L54" s="876">
        <f>SUM(L52:L53)</f>
        <v>7.5</v>
      </c>
      <c r="M54" s="877"/>
      <c r="N54" s="569">
        <f>+E54*R28</f>
        <v>12.5</v>
      </c>
      <c r="O54" s="569">
        <f>+S41*(F54+E57)</f>
        <v>90</v>
      </c>
      <c r="P54" s="887">
        <f>SUM(I54:O54)</f>
        <v>2354</v>
      </c>
      <c r="Q54" s="828"/>
      <c r="R54" s="845" t="s">
        <v>99</v>
      </c>
      <c r="S54" s="846"/>
      <c r="V54" s="76"/>
    </row>
    <row r="55" spans="1:22" ht="21" thickBot="1">
      <c r="A55" s="76"/>
      <c r="E55" s="76"/>
      <c r="F55" s="76"/>
      <c r="H55" s="76"/>
      <c r="I55" s="119"/>
      <c r="J55" s="119"/>
      <c r="K55" s="119"/>
      <c r="L55" s="119"/>
      <c r="M55" s="119"/>
      <c r="N55" s="119"/>
      <c r="P55" s="829">
        <f>+P54/60</f>
        <v>39.233333333333334</v>
      </c>
      <c r="Q55" s="830"/>
      <c r="R55" s="825" t="s">
        <v>4</v>
      </c>
      <c r="S55" s="826"/>
      <c r="T55" s="76"/>
      <c r="U55" s="76"/>
      <c r="V55" s="76"/>
    </row>
    <row r="56" spans="1:22" ht="20.25">
      <c r="A56" s="76"/>
      <c r="B56" s="76"/>
      <c r="C56" s="76"/>
      <c r="D56" s="76"/>
      <c r="E56" s="885" t="s">
        <v>344</v>
      </c>
      <c r="F56" s="885"/>
      <c r="G56" s="885"/>
      <c r="H56" s="885"/>
      <c r="I56" s="885"/>
      <c r="J56" s="885"/>
      <c r="K56" s="885"/>
      <c r="L56" s="76"/>
      <c r="M56" s="76"/>
      <c r="N56" s="76"/>
      <c r="T56" s="76"/>
      <c r="U56" s="76"/>
      <c r="V56" s="76"/>
    </row>
    <row r="57" spans="1:22" ht="20.25">
      <c r="A57" s="76"/>
      <c r="B57" s="76"/>
      <c r="C57" s="76"/>
      <c r="D57" s="76"/>
      <c r="E57" s="886">
        <v>3</v>
      </c>
      <c r="F57" s="886"/>
      <c r="G57" s="886"/>
      <c r="H57" s="886"/>
      <c r="I57" s="886"/>
      <c r="J57" s="886"/>
      <c r="K57" s="886"/>
      <c r="L57" s="76"/>
      <c r="M57" s="76"/>
      <c r="N57" s="76"/>
      <c r="T57" s="76"/>
      <c r="U57" s="76"/>
      <c r="V57" s="76"/>
    </row>
    <row r="58" spans="1:22" ht="18">
      <c r="A58" s="76"/>
      <c r="B58" s="76"/>
      <c r="C58" s="76"/>
      <c r="D58" s="76"/>
      <c r="E58" s="76"/>
      <c r="F58" s="76"/>
      <c r="H58" s="76"/>
      <c r="I58" s="76"/>
      <c r="J58" s="76"/>
      <c r="K58" s="76"/>
      <c r="L58" s="76"/>
      <c r="M58" s="76"/>
      <c r="N58" s="76"/>
      <c r="T58" s="76"/>
      <c r="U58" s="76"/>
      <c r="V58" s="76"/>
    </row>
    <row r="59" spans="1:22" ht="18.75" thickBot="1">
      <c r="A59" s="76"/>
      <c r="B59" s="76"/>
      <c r="C59" s="76"/>
      <c r="D59" s="76"/>
      <c r="E59" s="76"/>
      <c r="F59" s="76"/>
      <c r="H59" s="76"/>
      <c r="S59" s="76"/>
      <c r="T59" s="76"/>
      <c r="U59" s="76"/>
      <c r="V59" s="76"/>
    </row>
    <row r="60" spans="1:22" ht="24.75" customHeight="1" thickBot="1">
      <c r="A60" s="76"/>
      <c r="B60" s="76"/>
      <c r="C60" s="76"/>
      <c r="D60" s="76"/>
      <c r="E60" s="76"/>
      <c r="F60" s="76"/>
      <c r="H60" s="883" t="s">
        <v>34</v>
      </c>
      <c r="I60" s="884"/>
      <c r="J60" s="884"/>
      <c r="K60" s="884"/>
      <c r="L60" s="589">
        <f>ROUNDUP(D54/P54*60,1)</f>
        <v>12.799999999999999</v>
      </c>
      <c r="M60" s="230" t="s">
        <v>282</v>
      </c>
      <c r="O60" s="173"/>
      <c r="P60" s="232">
        <f>+L60*3.28</f>
        <v>41.983999999999995</v>
      </c>
      <c r="Q60" s="230" t="s">
        <v>307</v>
      </c>
      <c r="R60" s="173"/>
      <c r="V60" s="76"/>
    </row>
    <row r="61" spans="1:29" ht="18">
      <c r="A61" s="76"/>
      <c r="B61" s="76"/>
      <c r="C61" s="76"/>
      <c r="D61" s="76"/>
      <c r="E61" s="76"/>
      <c r="F61" s="76"/>
      <c r="G61" s="76"/>
      <c r="H61" s="76"/>
      <c r="AC61" s="76"/>
    </row>
    <row r="62" spans="1:29" ht="18">
      <c r="A62" s="76"/>
      <c r="B62" s="76"/>
      <c r="C62" s="76"/>
      <c r="D62" s="76"/>
      <c r="E62" s="76"/>
      <c r="F62" s="76"/>
      <c r="G62" s="76"/>
      <c r="H62" s="76"/>
      <c r="AC62" s="76"/>
    </row>
    <row r="63" spans="1:29" ht="18">
      <c r="A63" s="76"/>
      <c r="B63" s="76"/>
      <c r="C63" s="76"/>
      <c r="D63" s="76"/>
      <c r="E63" s="76"/>
      <c r="F63" s="76"/>
      <c r="G63" s="76"/>
      <c r="H63" s="76"/>
      <c r="AC63" s="76"/>
    </row>
    <row r="64" spans="1:29" ht="18">
      <c r="A64" s="76"/>
      <c r="B64" s="76"/>
      <c r="C64" s="76"/>
      <c r="D64" s="76"/>
      <c r="E64" s="76"/>
      <c r="F64" s="76"/>
      <c r="G64" s="76"/>
      <c r="H64" s="76"/>
      <c r="AC64" s="76"/>
    </row>
    <row r="65" spans="1:29" ht="18">
      <c r="A65" s="76"/>
      <c r="B65" s="76"/>
      <c r="C65" s="76"/>
      <c r="D65" s="76"/>
      <c r="E65" s="76"/>
      <c r="F65" s="76"/>
      <c r="G65" s="76"/>
      <c r="H65" s="76"/>
      <c r="AC65" s="76"/>
    </row>
    <row r="66" spans="1:29" ht="18">
      <c r="A66" s="76"/>
      <c r="B66" s="76"/>
      <c r="C66" s="76"/>
      <c r="D66" s="76"/>
      <c r="E66" s="76"/>
      <c r="F66" s="76"/>
      <c r="G66" s="76"/>
      <c r="H66" s="76"/>
      <c r="AC66" s="76"/>
    </row>
    <row r="67" spans="1:29" ht="18">
      <c r="A67" s="76"/>
      <c r="B67" s="76"/>
      <c r="C67" s="76"/>
      <c r="D67" s="76"/>
      <c r="E67" s="76"/>
      <c r="F67" s="76"/>
      <c r="G67" s="76"/>
      <c r="H67" s="76"/>
      <c r="AC67" s="76"/>
    </row>
    <row r="68" spans="1:29" ht="18">
      <c r="A68" s="76"/>
      <c r="B68" s="76"/>
      <c r="C68" s="76"/>
      <c r="D68" s="76"/>
      <c r="E68" s="76"/>
      <c r="F68" s="76"/>
      <c r="G68" s="76"/>
      <c r="H68" s="76"/>
      <c r="AC68" s="76"/>
    </row>
    <row r="69" spans="1:29" ht="18">
      <c r="A69" s="76"/>
      <c r="B69" s="76"/>
      <c r="C69" s="76"/>
      <c r="D69" s="76"/>
      <c r="E69" s="76"/>
      <c r="F69" s="76"/>
      <c r="G69" s="76"/>
      <c r="H69" s="76"/>
      <c r="AC69" s="76"/>
    </row>
  </sheetData>
  <mergeCells count="50">
    <mergeCell ref="C47:E47"/>
    <mergeCell ref="C48:E48"/>
    <mergeCell ref="L36:R36"/>
    <mergeCell ref="H60:K60"/>
    <mergeCell ref="E56:K56"/>
    <mergeCell ref="E57:K57"/>
    <mergeCell ref="P54:Q54"/>
    <mergeCell ref="L39:R39"/>
    <mergeCell ref="L40:R40"/>
    <mergeCell ref="I50:K50"/>
    <mergeCell ref="L38:R38"/>
    <mergeCell ref="R54:S54"/>
    <mergeCell ref="B9:F9"/>
    <mergeCell ref="M11:P11"/>
    <mergeCell ref="B11:F11"/>
    <mergeCell ref="B12:F12"/>
    <mergeCell ref="B10:F10"/>
    <mergeCell ref="L27:Q27"/>
    <mergeCell ref="L18:Q18"/>
    <mergeCell ref="B13:F13"/>
    <mergeCell ref="G6:H6"/>
    <mergeCell ref="M8:P8"/>
    <mergeCell ref="M9:P9"/>
    <mergeCell ref="M10:P10"/>
    <mergeCell ref="B14:F14"/>
    <mergeCell ref="L26:Q26"/>
    <mergeCell ref="L17:Q17"/>
    <mergeCell ref="L19:Q19"/>
    <mergeCell ref="L25:Q25"/>
    <mergeCell ref="B15:F15"/>
    <mergeCell ref="B16:F16"/>
    <mergeCell ref="C19:E19"/>
    <mergeCell ref="B28:G28"/>
    <mergeCell ref="L33:R33"/>
    <mergeCell ref="L34:R34"/>
    <mergeCell ref="L37:R37"/>
    <mergeCell ref="B29:G29"/>
    <mergeCell ref="B30:G30"/>
    <mergeCell ref="B31:G31"/>
    <mergeCell ref="L35:R35"/>
    <mergeCell ref="B32:G32"/>
    <mergeCell ref="B33:G33"/>
    <mergeCell ref="P55:Q55"/>
    <mergeCell ref="R55:S55"/>
    <mergeCell ref="L50:O50"/>
    <mergeCell ref="L52:M52"/>
    <mergeCell ref="L53:M53"/>
    <mergeCell ref="L54:M54"/>
    <mergeCell ref="L51:M51"/>
    <mergeCell ref="P52:S53"/>
  </mergeCells>
  <printOptions/>
  <pageMargins left="0.75" right="0.75" top="0.75" bottom="0.5" header="0.5" footer="0.5"/>
  <pageSetup cellComments="asDisplayed" horizontalDpi="600" verticalDpi="600" orientation="landscape" scale="42" r:id="rId3"/>
  <headerFooter alignWithMargins="0">
    <oddFooter>&amp;LFichier : &amp;F
Onglet : &amp;A
Page &amp;P de &amp;N&amp;CMine-laboratoire
Val-d'Or&amp;R&amp;D
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96"/>
  <sheetViews>
    <sheetView zoomScale="50" zoomScaleNormal="50" workbookViewId="0" topLeftCell="D1">
      <selection activeCell="R4" sqref="R4"/>
    </sheetView>
  </sheetViews>
  <sheetFormatPr defaultColWidth="9.140625" defaultRowHeight="12.75"/>
  <cols>
    <col min="1" max="1" width="16.57421875" style="140" customWidth="1"/>
    <col min="2" max="2" width="18.28125" style="140" customWidth="1"/>
    <col min="3" max="3" width="20.7109375" style="140" customWidth="1"/>
    <col min="4" max="4" width="16.140625" style="140" customWidth="1"/>
    <col min="5" max="5" width="14.28125" style="140" customWidth="1"/>
    <col min="6" max="6" width="14.8515625" style="140" customWidth="1"/>
    <col min="7" max="7" width="11.57421875" style="140" customWidth="1"/>
    <col min="8" max="8" width="14.57421875" style="140" customWidth="1"/>
    <col min="9" max="9" width="19.140625" style="140" customWidth="1"/>
    <col min="10" max="12" width="13.7109375" style="140" customWidth="1"/>
    <col min="13" max="13" width="14.421875" style="140" customWidth="1"/>
    <col min="14" max="14" width="16.28125" style="140" customWidth="1"/>
    <col min="15" max="15" width="14.57421875" style="140" customWidth="1"/>
    <col min="16" max="16" width="11.28125" style="140" customWidth="1"/>
    <col min="17" max="18" width="9.140625" style="140" customWidth="1"/>
    <col min="19" max="19" width="5.28125" style="140" customWidth="1"/>
    <col min="20" max="20" width="6.00390625" style="140" customWidth="1"/>
    <col min="21" max="16384" width="9.140625" style="140" customWidth="1"/>
  </cols>
  <sheetData>
    <row r="1" ht="18"/>
    <row r="2" ht="31.5">
      <c r="A2" s="285" t="s">
        <v>111</v>
      </c>
    </row>
    <row r="3" spans="1:18" ht="31.5">
      <c r="A3" s="286" t="s">
        <v>421</v>
      </c>
      <c r="R3" s="382" t="s">
        <v>434</v>
      </c>
    </row>
    <row r="4" ht="22.5">
      <c r="A4" s="139"/>
    </row>
    <row r="5" spans="1:19" ht="18">
      <c r="A5" s="141"/>
      <c r="B5" s="142"/>
      <c r="C5" s="142"/>
      <c r="D5" s="142"/>
      <c r="E5" s="142"/>
      <c r="F5" s="142"/>
      <c r="G5" s="142"/>
      <c r="H5" s="143"/>
      <c r="J5" s="156"/>
      <c r="K5" s="157"/>
      <c r="L5" s="157"/>
      <c r="M5" s="157"/>
      <c r="N5" s="157"/>
      <c r="O5" s="157"/>
      <c r="P5" s="157"/>
      <c r="Q5" s="157"/>
      <c r="R5" s="157"/>
      <c r="S5" s="143"/>
    </row>
    <row r="6" spans="1:21" ht="23.25">
      <c r="A6" s="116" t="s">
        <v>65</v>
      </c>
      <c r="B6" s="146"/>
      <c r="C6" s="146"/>
      <c r="D6" s="146"/>
      <c r="E6" s="146"/>
      <c r="F6" s="146"/>
      <c r="G6" s="146"/>
      <c r="H6" s="147"/>
      <c r="J6" s="148"/>
      <c r="K6" s="115" t="s">
        <v>317</v>
      </c>
      <c r="L6" s="146"/>
      <c r="M6" s="146"/>
      <c r="N6" s="146"/>
      <c r="O6" s="146"/>
      <c r="P6" s="146"/>
      <c r="Q6" s="146"/>
      <c r="S6" s="149"/>
      <c r="U6" s="76"/>
    </row>
    <row r="7" spans="1:21" ht="20.25">
      <c r="A7" s="148"/>
      <c r="B7" s="146"/>
      <c r="C7" s="146"/>
      <c r="D7" s="146"/>
      <c r="E7" s="146"/>
      <c r="F7" s="146"/>
      <c r="G7" s="322" t="s">
        <v>2</v>
      </c>
      <c r="H7" s="147"/>
      <c r="J7" s="148"/>
      <c r="K7" s="146"/>
      <c r="L7" s="146"/>
      <c r="M7" s="146"/>
      <c r="N7" s="146"/>
      <c r="O7" s="146"/>
      <c r="P7" s="322" t="s">
        <v>2</v>
      </c>
      <c r="Q7" s="146"/>
      <c r="S7" s="149"/>
      <c r="U7" s="76"/>
    </row>
    <row r="8" spans="1:21" ht="18">
      <c r="A8" s="148"/>
      <c r="B8" s="833" t="s">
        <v>325</v>
      </c>
      <c r="C8" s="833"/>
      <c r="D8" s="833"/>
      <c r="E8" s="833"/>
      <c r="F8" s="833"/>
      <c r="G8" s="150">
        <v>0.4</v>
      </c>
      <c r="H8" s="147"/>
      <c r="J8" s="148"/>
      <c r="K8" s="146"/>
      <c r="L8" s="822" t="s">
        <v>371</v>
      </c>
      <c r="M8" s="823"/>
      <c r="N8" s="823"/>
      <c r="O8" s="824"/>
      <c r="P8" s="150"/>
      <c r="Q8" s="146"/>
      <c r="S8" s="149"/>
      <c r="U8" s="76"/>
    </row>
    <row r="9" spans="1:19" ht="18">
      <c r="A9" s="148"/>
      <c r="B9" s="834" t="s">
        <v>372</v>
      </c>
      <c r="C9" s="834"/>
      <c r="D9" s="834"/>
      <c r="E9" s="834"/>
      <c r="F9" s="834"/>
      <c r="G9" s="271">
        <v>1.5</v>
      </c>
      <c r="H9" s="147"/>
      <c r="J9" s="148"/>
      <c r="K9" s="146"/>
      <c r="L9" s="822" t="s">
        <v>298</v>
      </c>
      <c r="M9" s="823"/>
      <c r="N9" s="823"/>
      <c r="O9" s="824"/>
      <c r="P9" s="150">
        <v>0.4</v>
      </c>
      <c r="Q9" s="146"/>
      <c r="S9" s="149"/>
    </row>
    <row r="10" spans="1:19" ht="18">
      <c r="A10" s="148"/>
      <c r="B10" s="833" t="s">
        <v>326</v>
      </c>
      <c r="C10" s="833"/>
      <c r="D10" s="833"/>
      <c r="E10" s="833"/>
      <c r="F10" s="833"/>
      <c r="G10" s="150">
        <v>0.4</v>
      </c>
      <c r="H10" s="147"/>
      <c r="J10" s="148"/>
      <c r="K10" s="146"/>
      <c r="L10" s="836"/>
      <c r="M10" s="837"/>
      <c r="N10" s="837"/>
      <c r="O10" s="838"/>
      <c r="P10" s="150"/>
      <c r="Q10" s="146"/>
      <c r="S10" s="149"/>
    </row>
    <row r="11" spans="1:19" ht="18">
      <c r="A11" s="148"/>
      <c r="B11" s="833" t="s">
        <v>423</v>
      </c>
      <c r="C11" s="833"/>
      <c r="D11" s="833"/>
      <c r="E11" s="833"/>
      <c r="F11" s="833"/>
      <c r="G11" s="150">
        <v>0.5</v>
      </c>
      <c r="H11" s="147"/>
      <c r="J11" s="148"/>
      <c r="K11" s="146"/>
      <c r="L11" s="836"/>
      <c r="M11" s="837"/>
      <c r="N11" s="837"/>
      <c r="O11" s="838"/>
      <c r="P11" s="150"/>
      <c r="Q11" s="146"/>
      <c r="S11" s="149"/>
    </row>
    <row r="12" spans="1:19" ht="20.25">
      <c r="A12" s="148"/>
      <c r="B12" s="833" t="s">
        <v>330</v>
      </c>
      <c r="C12" s="833"/>
      <c r="D12" s="833"/>
      <c r="E12" s="833"/>
      <c r="F12" s="833"/>
      <c r="G12" s="150">
        <v>1.4</v>
      </c>
      <c r="H12" s="147"/>
      <c r="J12" s="148"/>
      <c r="K12" s="146"/>
      <c r="L12" s="146"/>
      <c r="M12" s="146"/>
      <c r="N12" s="146"/>
      <c r="O12" s="146"/>
      <c r="P12" s="123">
        <f>SUM(P8:P11)</f>
        <v>0.4</v>
      </c>
      <c r="Q12" s="120" t="s">
        <v>145</v>
      </c>
      <c r="S12" s="149"/>
    </row>
    <row r="13" spans="1:19" ht="20.25">
      <c r="A13" s="148"/>
      <c r="B13" s="833" t="s">
        <v>331</v>
      </c>
      <c r="C13" s="833"/>
      <c r="D13" s="833"/>
      <c r="E13" s="833"/>
      <c r="F13" s="833"/>
      <c r="G13" s="151">
        <v>0.7</v>
      </c>
      <c r="H13" s="147"/>
      <c r="J13" s="153"/>
      <c r="K13" s="154"/>
      <c r="L13" s="154"/>
      <c r="M13" s="154"/>
      <c r="N13" s="154"/>
      <c r="O13" s="154"/>
      <c r="P13" s="124"/>
      <c r="Q13" s="126" t="s">
        <v>336</v>
      </c>
      <c r="R13" s="154"/>
      <c r="S13" s="155"/>
    </row>
    <row r="14" spans="1:21" ht="18">
      <c r="A14" s="148"/>
      <c r="B14" s="835"/>
      <c r="C14" s="835"/>
      <c r="D14" s="835"/>
      <c r="E14" s="835"/>
      <c r="F14" s="835"/>
      <c r="G14" s="151"/>
      <c r="H14" s="147"/>
      <c r="J14" s="156"/>
      <c r="K14" s="157"/>
      <c r="L14" s="157"/>
      <c r="M14" s="157"/>
      <c r="N14" s="157"/>
      <c r="O14" s="157"/>
      <c r="P14" s="157"/>
      <c r="Q14" s="157"/>
      <c r="R14" s="157"/>
      <c r="S14" s="159"/>
      <c r="U14" s="76"/>
    </row>
    <row r="15" spans="1:21" ht="23.25">
      <c r="A15" s="148"/>
      <c r="B15" s="835"/>
      <c r="C15" s="835"/>
      <c r="D15" s="835"/>
      <c r="E15" s="835"/>
      <c r="F15" s="835"/>
      <c r="G15" s="151"/>
      <c r="H15" s="147"/>
      <c r="J15" s="117"/>
      <c r="K15" s="99" t="s">
        <v>377</v>
      </c>
      <c r="L15" s="146"/>
      <c r="M15" s="146"/>
      <c r="N15" s="146"/>
      <c r="O15" s="146"/>
      <c r="P15" s="146"/>
      <c r="Q15" s="146"/>
      <c r="S15" s="147"/>
      <c r="U15" s="76"/>
    </row>
    <row r="16" spans="1:21" ht="23.25">
      <c r="A16" s="148"/>
      <c r="B16" s="146"/>
      <c r="C16" s="146"/>
      <c r="D16" s="76"/>
      <c r="E16" s="146"/>
      <c r="F16" s="122" t="s">
        <v>373</v>
      </c>
      <c r="G16" s="152">
        <f>SUM(G8:G13)</f>
        <v>4.8999999999999995</v>
      </c>
      <c r="H16" s="503" t="s">
        <v>374</v>
      </c>
      <c r="J16" s="127"/>
      <c r="K16" s="288"/>
      <c r="L16" s="146"/>
      <c r="M16" s="146"/>
      <c r="N16" s="146"/>
      <c r="O16" s="146"/>
      <c r="P16" s="146"/>
      <c r="Q16" s="322" t="s">
        <v>2</v>
      </c>
      <c r="S16" s="147"/>
      <c r="U16" s="76"/>
    </row>
    <row r="17" spans="1:21" ht="18">
      <c r="A17" s="148"/>
      <c r="B17" s="146"/>
      <c r="C17" s="146"/>
      <c r="D17" s="146"/>
      <c r="E17" s="146"/>
      <c r="F17" s="146"/>
      <c r="G17" s="146"/>
      <c r="H17" s="147"/>
      <c r="J17" s="148"/>
      <c r="K17" s="833" t="s">
        <v>323</v>
      </c>
      <c r="L17" s="833"/>
      <c r="M17" s="833"/>
      <c r="N17" s="833"/>
      <c r="O17" s="833"/>
      <c r="P17" s="833"/>
      <c r="Q17" s="150">
        <v>0.7</v>
      </c>
      <c r="S17" s="147"/>
      <c r="U17" s="76"/>
    </row>
    <row r="18" spans="1:21" ht="20.25" customHeight="1">
      <c r="A18" s="148"/>
      <c r="G18" s="146"/>
      <c r="H18" s="147"/>
      <c r="J18" s="148"/>
      <c r="K18" s="833" t="s">
        <v>324</v>
      </c>
      <c r="L18" s="833"/>
      <c r="M18" s="833"/>
      <c r="N18" s="833"/>
      <c r="O18" s="833"/>
      <c r="P18" s="833"/>
      <c r="Q18" s="150">
        <v>0.5</v>
      </c>
      <c r="S18" s="147"/>
      <c r="U18" s="76"/>
    </row>
    <row r="19" spans="1:21" ht="20.25">
      <c r="A19" s="148"/>
      <c r="C19" s="77"/>
      <c r="E19" s="582" t="s">
        <v>148</v>
      </c>
      <c r="F19" s="125">
        <v>1.2</v>
      </c>
      <c r="G19" s="118"/>
      <c r="H19" s="147"/>
      <c r="J19" s="148"/>
      <c r="K19" s="835"/>
      <c r="L19" s="835"/>
      <c r="M19" s="835"/>
      <c r="N19" s="835"/>
      <c r="O19" s="835"/>
      <c r="P19" s="835"/>
      <c r="Q19" s="151"/>
      <c r="S19" s="147"/>
      <c r="U19" s="76"/>
    </row>
    <row r="20" spans="1:21" ht="20.25">
      <c r="A20" s="148"/>
      <c r="C20" s="77"/>
      <c r="E20" s="582" t="s">
        <v>295</v>
      </c>
      <c r="F20" s="123">
        <f>+G16/F19</f>
        <v>4.083333333333333</v>
      </c>
      <c r="G20" s="120" t="s">
        <v>294</v>
      </c>
      <c r="H20" s="147"/>
      <c r="J20" s="148"/>
      <c r="K20" s="77"/>
      <c r="L20" s="146"/>
      <c r="M20" s="146"/>
      <c r="N20" s="76"/>
      <c r="O20" s="76"/>
      <c r="P20" s="122" t="s">
        <v>378</v>
      </c>
      <c r="Q20" s="123">
        <f>SUM(Q17:Q19)</f>
        <v>1.2</v>
      </c>
      <c r="R20" s="21" t="s">
        <v>2</v>
      </c>
      <c r="S20" s="147"/>
      <c r="U20" s="76"/>
    </row>
    <row r="21" spans="1:21" ht="18">
      <c r="A21" s="148"/>
      <c r="B21" s="146"/>
      <c r="C21" s="146"/>
      <c r="D21" s="146"/>
      <c r="E21" s="146"/>
      <c r="F21" s="146"/>
      <c r="G21" s="146"/>
      <c r="H21" s="147"/>
      <c r="J21" s="153"/>
      <c r="K21" s="228"/>
      <c r="L21" s="228"/>
      <c r="M21" s="228"/>
      <c r="N21" s="228"/>
      <c r="O21" s="228"/>
      <c r="P21" s="228"/>
      <c r="Q21" s="228"/>
      <c r="R21" s="228"/>
      <c r="S21" s="158"/>
      <c r="U21" s="76"/>
    </row>
    <row r="22" spans="1:21" ht="20.25">
      <c r="A22" s="148"/>
      <c r="B22" s="557"/>
      <c r="C22" s="146"/>
      <c r="D22" s="146"/>
      <c r="E22" s="146"/>
      <c r="F22" s="146"/>
      <c r="G22" s="146"/>
      <c r="H22" s="147"/>
      <c r="J22" s="156"/>
      <c r="K22" s="157"/>
      <c r="L22" s="157"/>
      <c r="M22" s="157"/>
      <c r="N22" s="157"/>
      <c r="O22" s="157"/>
      <c r="P22" s="157"/>
      <c r="Q22" s="157"/>
      <c r="R22" s="157"/>
      <c r="S22" s="159"/>
      <c r="U22" s="76"/>
    </row>
    <row r="23" spans="1:21" ht="23.25">
      <c r="A23" s="148"/>
      <c r="B23" s="557"/>
      <c r="C23" s="146"/>
      <c r="D23" s="146"/>
      <c r="E23" s="146"/>
      <c r="F23" s="146"/>
      <c r="G23" s="146"/>
      <c r="H23" s="147"/>
      <c r="J23" s="117"/>
      <c r="K23" s="99" t="s">
        <v>379</v>
      </c>
      <c r="L23" s="146"/>
      <c r="M23" s="146"/>
      <c r="N23" s="146"/>
      <c r="O23" s="146"/>
      <c r="P23" s="146"/>
      <c r="Q23" s="146"/>
      <c r="S23" s="147"/>
      <c r="U23" s="76"/>
    </row>
    <row r="24" spans="1:21" ht="23.25">
      <c r="A24" s="153"/>
      <c r="B24" s="154"/>
      <c r="C24" s="154"/>
      <c r="D24" s="154"/>
      <c r="E24" s="154"/>
      <c r="F24" s="154"/>
      <c r="G24" s="154"/>
      <c r="H24" s="158"/>
      <c r="J24" s="127"/>
      <c r="K24" s="288" t="s">
        <v>319</v>
      </c>
      <c r="L24" s="146"/>
      <c r="M24" s="146"/>
      <c r="N24" s="146"/>
      <c r="O24" s="146"/>
      <c r="P24" s="146"/>
      <c r="Q24" s="322" t="s">
        <v>2</v>
      </c>
      <c r="S24" s="147"/>
      <c r="U24" s="76"/>
    </row>
    <row r="25" spans="1:22" ht="18">
      <c r="A25" s="141"/>
      <c r="B25" s="142"/>
      <c r="C25" s="142"/>
      <c r="D25" s="142"/>
      <c r="E25" s="142"/>
      <c r="F25" s="142"/>
      <c r="G25" s="142"/>
      <c r="H25" s="143"/>
      <c r="J25" s="148"/>
      <c r="K25" s="833" t="s">
        <v>433</v>
      </c>
      <c r="L25" s="833"/>
      <c r="M25" s="833"/>
      <c r="N25" s="833"/>
      <c r="O25" s="833"/>
      <c r="P25" s="833"/>
      <c r="Q25" s="150">
        <v>0</v>
      </c>
      <c r="S25" s="147"/>
      <c r="U25" s="76"/>
      <c r="V25" s="76"/>
    </row>
    <row r="26" spans="1:21" ht="23.25">
      <c r="A26" s="116" t="s">
        <v>296</v>
      </c>
      <c r="B26" s="144"/>
      <c r="C26" s="146"/>
      <c r="D26" s="146"/>
      <c r="E26" s="146"/>
      <c r="F26" s="146"/>
      <c r="G26" s="146"/>
      <c r="H26" s="149"/>
      <c r="J26" s="148"/>
      <c r="K26" s="833" t="s">
        <v>334</v>
      </c>
      <c r="L26" s="833"/>
      <c r="M26" s="833"/>
      <c r="N26" s="833"/>
      <c r="O26" s="833"/>
      <c r="P26" s="833"/>
      <c r="Q26" s="150">
        <v>0</v>
      </c>
      <c r="S26" s="147"/>
      <c r="U26" s="76"/>
    </row>
    <row r="27" spans="1:21" ht="20.25">
      <c r="A27" s="148"/>
      <c r="B27" s="146"/>
      <c r="C27" s="146"/>
      <c r="D27" s="146"/>
      <c r="E27" s="146"/>
      <c r="F27" s="146"/>
      <c r="G27" s="322" t="s">
        <v>2</v>
      </c>
      <c r="H27" s="149"/>
      <c r="J27" s="148"/>
      <c r="K27" s="835"/>
      <c r="L27" s="835"/>
      <c r="M27" s="835"/>
      <c r="N27" s="835"/>
      <c r="O27" s="835"/>
      <c r="P27" s="835"/>
      <c r="Q27" s="151"/>
      <c r="R27"/>
      <c r="S27" s="147"/>
      <c r="U27" s="76"/>
    </row>
    <row r="28" spans="1:21" ht="20.25">
      <c r="A28" s="148"/>
      <c r="B28" s="833" t="s">
        <v>347</v>
      </c>
      <c r="C28" s="833"/>
      <c r="D28" s="833"/>
      <c r="E28" s="833"/>
      <c r="F28" s="833"/>
      <c r="G28" s="150">
        <v>0.4</v>
      </c>
      <c r="H28" s="149"/>
      <c r="J28" s="148"/>
      <c r="P28" s="122" t="s">
        <v>387</v>
      </c>
      <c r="Q28" s="123">
        <f>SUM(Q25:Q27)</f>
        <v>0</v>
      </c>
      <c r="R28" s="21" t="s">
        <v>2</v>
      </c>
      <c r="S28" s="147"/>
      <c r="U28" s="76"/>
    </row>
    <row r="29" spans="1:21" ht="18">
      <c r="A29" s="148"/>
      <c r="B29" s="833" t="s">
        <v>79</v>
      </c>
      <c r="C29" s="833"/>
      <c r="D29" s="833"/>
      <c r="E29" s="833"/>
      <c r="F29" s="833"/>
      <c r="G29" s="150">
        <v>1.5</v>
      </c>
      <c r="H29" s="149"/>
      <c r="J29" s="153"/>
      <c r="K29" s="228"/>
      <c r="L29" s="228"/>
      <c r="M29" s="228"/>
      <c r="N29" s="228"/>
      <c r="O29" s="228"/>
      <c r="P29" s="228"/>
      <c r="Q29" s="228"/>
      <c r="R29" s="228"/>
      <c r="S29" s="158"/>
      <c r="U29" s="76"/>
    </row>
    <row r="30" spans="1:21" ht="18">
      <c r="A30" s="148"/>
      <c r="B30" s="833" t="s">
        <v>332</v>
      </c>
      <c r="C30" s="833"/>
      <c r="D30" s="833"/>
      <c r="E30" s="833"/>
      <c r="F30" s="833"/>
      <c r="G30" s="150">
        <v>2</v>
      </c>
      <c r="H30" s="149"/>
      <c r="J30" s="156"/>
      <c r="K30" s="157"/>
      <c r="L30" s="157"/>
      <c r="M30" s="157"/>
      <c r="N30" s="157"/>
      <c r="O30" s="157"/>
      <c r="P30" s="157"/>
      <c r="Q30" s="157"/>
      <c r="R30" s="157"/>
      <c r="S30" s="143"/>
      <c r="U30" s="76"/>
    </row>
    <row r="31" spans="1:21" ht="23.25">
      <c r="A31" s="148"/>
      <c r="B31" s="833" t="s">
        <v>333</v>
      </c>
      <c r="C31" s="833"/>
      <c r="D31" s="833"/>
      <c r="E31" s="833"/>
      <c r="F31" s="833"/>
      <c r="G31" s="150">
        <v>0.8</v>
      </c>
      <c r="H31" s="149"/>
      <c r="J31" s="148"/>
      <c r="K31" s="99" t="s">
        <v>381</v>
      </c>
      <c r="L31" s="146"/>
      <c r="M31" s="146"/>
      <c r="N31" s="146"/>
      <c r="O31" s="146"/>
      <c r="P31" s="146"/>
      <c r="Q31" s="146"/>
      <c r="R31" s="146"/>
      <c r="S31" s="149"/>
      <c r="U31" s="76"/>
    </row>
    <row r="32" spans="1:21" ht="23.25">
      <c r="A32" s="148"/>
      <c r="B32" s="835"/>
      <c r="C32" s="835"/>
      <c r="D32" s="835"/>
      <c r="E32" s="835"/>
      <c r="F32" s="835"/>
      <c r="G32" s="150"/>
      <c r="H32" s="149"/>
      <c r="J32" s="148"/>
      <c r="K32" s="287" t="s">
        <v>338</v>
      </c>
      <c r="L32" s="146"/>
      <c r="M32" s="146"/>
      <c r="N32" s="146"/>
      <c r="O32" s="146"/>
      <c r="P32" s="146"/>
      <c r="Q32" s="322" t="s">
        <v>2</v>
      </c>
      <c r="S32" s="149"/>
      <c r="U32" s="76"/>
    </row>
    <row r="33" spans="1:21" ht="18">
      <c r="A33" s="148"/>
      <c r="B33" s="835"/>
      <c r="C33" s="835"/>
      <c r="D33" s="835"/>
      <c r="E33" s="835"/>
      <c r="F33" s="835"/>
      <c r="G33" s="151"/>
      <c r="H33" s="149"/>
      <c r="J33" s="148"/>
      <c r="K33" s="822" t="s">
        <v>384</v>
      </c>
      <c r="L33" s="823"/>
      <c r="M33" s="823"/>
      <c r="N33" s="823"/>
      <c r="O33" s="823"/>
      <c r="P33" s="823"/>
      <c r="Q33" s="150">
        <v>1</v>
      </c>
      <c r="S33" s="149"/>
      <c r="U33" s="76"/>
    </row>
    <row r="34" spans="1:21" ht="20.25">
      <c r="A34" s="148"/>
      <c r="B34" s="146"/>
      <c r="C34" s="146"/>
      <c r="D34" s="144"/>
      <c r="E34" s="146"/>
      <c r="F34" s="122" t="s">
        <v>297</v>
      </c>
      <c r="G34" s="123">
        <f>SUM(G28:G33)</f>
        <v>4.7</v>
      </c>
      <c r="H34" s="149"/>
      <c r="J34" s="148"/>
      <c r="K34" s="822" t="s">
        <v>320</v>
      </c>
      <c r="L34" s="823"/>
      <c r="M34" s="823"/>
      <c r="N34" s="823"/>
      <c r="O34" s="823"/>
      <c r="P34" s="823"/>
      <c r="Q34" s="150">
        <v>2</v>
      </c>
      <c r="S34" s="149"/>
      <c r="U34" s="76"/>
    </row>
    <row r="35" spans="1:21" ht="18">
      <c r="A35" s="272"/>
      <c r="B35" s="144"/>
      <c r="C35" s="144"/>
      <c r="D35" s="144"/>
      <c r="E35" s="144"/>
      <c r="F35" s="144"/>
      <c r="G35" s="144"/>
      <c r="H35" s="149"/>
      <c r="J35" s="148"/>
      <c r="K35" s="822" t="s">
        <v>424</v>
      </c>
      <c r="L35" s="823"/>
      <c r="M35" s="823"/>
      <c r="N35" s="823"/>
      <c r="O35" s="823"/>
      <c r="P35" s="823"/>
      <c r="Q35" s="150">
        <v>2</v>
      </c>
      <c r="S35" s="149"/>
      <c r="U35" s="76"/>
    </row>
    <row r="36" spans="1:21" ht="18">
      <c r="A36" s="153"/>
      <c r="B36" s="154"/>
      <c r="C36" s="154"/>
      <c r="D36" s="154"/>
      <c r="E36" s="154"/>
      <c r="F36" s="154"/>
      <c r="G36" s="154"/>
      <c r="H36" s="155"/>
      <c r="J36" s="148"/>
      <c r="K36" s="822" t="s">
        <v>376</v>
      </c>
      <c r="L36" s="823"/>
      <c r="M36" s="823"/>
      <c r="N36" s="823"/>
      <c r="O36" s="823"/>
      <c r="P36" s="823"/>
      <c r="Q36" s="150">
        <v>1</v>
      </c>
      <c r="S36" s="149"/>
      <c r="U36" s="76"/>
    </row>
    <row r="37" spans="10:21" ht="18">
      <c r="J37" s="148"/>
      <c r="K37" s="822" t="s">
        <v>321</v>
      </c>
      <c r="L37" s="823"/>
      <c r="M37" s="823"/>
      <c r="N37" s="823"/>
      <c r="O37" s="823"/>
      <c r="P37" s="823"/>
      <c r="Q37" s="150">
        <v>1</v>
      </c>
      <c r="S37" s="149"/>
      <c r="U37" s="76"/>
    </row>
    <row r="38" spans="1:21" ht="18">
      <c r="A38"/>
      <c r="B38"/>
      <c r="C38"/>
      <c r="D38"/>
      <c r="E38"/>
      <c r="F38"/>
      <c r="G38"/>
      <c r="H38"/>
      <c r="I38"/>
      <c r="J38" s="148"/>
      <c r="K38" s="822" t="s">
        <v>322</v>
      </c>
      <c r="L38" s="823"/>
      <c r="M38" s="823"/>
      <c r="N38" s="823"/>
      <c r="O38" s="823"/>
      <c r="P38" s="823"/>
      <c r="Q38" s="150">
        <v>1</v>
      </c>
      <c r="S38" s="149"/>
      <c r="U38" s="76"/>
    </row>
    <row r="39" spans="1:21" ht="18">
      <c r="A39"/>
      <c r="B39"/>
      <c r="C39"/>
      <c r="D39"/>
      <c r="E39"/>
      <c r="F39"/>
      <c r="G39"/>
      <c r="H39"/>
      <c r="I39"/>
      <c r="J39" s="148"/>
      <c r="K39" s="836"/>
      <c r="L39" s="837"/>
      <c r="M39" s="837"/>
      <c r="N39" s="837"/>
      <c r="O39" s="837"/>
      <c r="P39" s="837"/>
      <c r="Q39" s="150"/>
      <c r="S39" s="149"/>
      <c r="U39" s="76"/>
    </row>
    <row r="40" spans="1:21" ht="18">
      <c r="A40"/>
      <c r="B40"/>
      <c r="C40"/>
      <c r="D40"/>
      <c r="E40"/>
      <c r="F40"/>
      <c r="G40"/>
      <c r="H40"/>
      <c r="I40"/>
      <c r="J40" s="148"/>
      <c r="K40" s="836"/>
      <c r="L40" s="837"/>
      <c r="M40" s="837"/>
      <c r="N40" s="837"/>
      <c r="O40" s="837"/>
      <c r="P40" s="837"/>
      <c r="Q40" s="150"/>
      <c r="S40" s="149"/>
      <c r="U40" s="76"/>
    </row>
    <row r="41" spans="1:21" ht="18">
      <c r="A41"/>
      <c r="B41"/>
      <c r="C41"/>
      <c r="D41"/>
      <c r="E41"/>
      <c r="F41"/>
      <c r="G41"/>
      <c r="H41"/>
      <c r="I41"/>
      <c r="J41" s="148"/>
      <c r="K41" s="836"/>
      <c r="L41" s="837"/>
      <c r="M41" s="837"/>
      <c r="N41" s="837"/>
      <c r="O41" s="837"/>
      <c r="P41" s="837"/>
      <c r="Q41" s="151"/>
      <c r="S41" s="149"/>
      <c r="U41" s="76"/>
    </row>
    <row r="42" spans="1:21" ht="20.25">
      <c r="A42"/>
      <c r="B42"/>
      <c r="C42"/>
      <c r="D42"/>
      <c r="E42"/>
      <c r="F42"/>
      <c r="G42"/>
      <c r="H42"/>
      <c r="I42"/>
      <c r="J42" s="148"/>
      <c r="K42" s="146"/>
      <c r="L42" s="146"/>
      <c r="M42" s="146"/>
      <c r="N42" s="146"/>
      <c r="O42" s="146"/>
      <c r="P42" s="582" t="s">
        <v>382</v>
      </c>
      <c r="Q42" s="123">
        <f>SUM(Q33:Q41)</f>
        <v>8</v>
      </c>
      <c r="R42" s="120" t="s">
        <v>30</v>
      </c>
      <c r="S42" s="149"/>
      <c r="U42" s="76"/>
    </row>
    <row r="43" spans="1:21" ht="18">
      <c r="A43"/>
      <c r="B43"/>
      <c r="C43"/>
      <c r="D43"/>
      <c r="E43"/>
      <c r="F43"/>
      <c r="G43"/>
      <c r="H43"/>
      <c r="I43"/>
      <c r="J43" s="336"/>
      <c r="K43" s="228"/>
      <c r="L43" s="228"/>
      <c r="M43" s="228"/>
      <c r="N43" s="228"/>
      <c r="O43" s="228"/>
      <c r="P43" s="228"/>
      <c r="Q43" s="228"/>
      <c r="R43" s="228"/>
      <c r="S43" s="155"/>
      <c r="U43" s="76"/>
    </row>
    <row r="44" spans="1:21" ht="18">
      <c r="A44" s="76"/>
      <c r="B44" s="76"/>
      <c r="C44" s="76"/>
      <c r="D44" s="76"/>
      <c r="E44" s="76"/>
      <c r="F44" s="76"/>
      <c r="G44" s="76"/>
      <c r="H44" s="76"/>
      <c r="I44" s="76"/>
      <c r="U44" s="76"/>
    </row>
    <row r="45" spans="1:21" ht="18">
      <c r="A45" s="76"/>
      <c r="B45" s="76"/>
      <c r="C45" s="76"/>
      <c r="D45" s="76"/>
      <c r="E45" s="76"/>
      <c r="F45" s="76"/>
      <c r="G45" s="76"/>
      <c r="H45" s="76"/>
      <c r="I45" s="76"/>
      <c r="U45" s="76"/>
    </row>
    <row r="46" spans="1:21" ht="18">
      <c r="A46" s="76"/>
      <c r="B46" s="76"/>
      <c r="C46" s="76"/>
      <c r="D46" s="76"/>
      <c r="E46" s="76"/>
      <c r="F46" s="76"/>
      <c r="G46" s="76"/>
      <c r="H46" s="76"/>
      <c r="I46" s="76"/>
      <c r="U46" s="76"/>
    </row>
    <row r="47" spans="1:22" ht="26.25">
      <c r="A47" s="289" t="s">
        <v>53</v>
      </c>
      <c r="B47" s="76"/>
      <c r="C47" s="76"/>
      <c r="E47" s="76"/>
      <c r="F47" s="76"/>
      <c r="G47" s="76"/>
      <c r="H47" s="76"/>
      <c r="I47" s="76"/>
      <c r="J47" s="76"/>
      <c r="U47" s="76"/>
      <c r="V47" s="76"/>
    </row>
    <row r="48" spans="1:22" ht="20.25">
      <c r="A48" s="76"/>
      <c r="B48" s="76"/>
      <c r="C48" s="76"/>
      <c r="E48" s="891" t="s">
        <v>340</v>
      </c>
      <c r="F48" s="892"/>
      <c r="G48" s="893"/>
      <c r="H48" s="129">
        <f>+F19</f>
        <v>1.2</v>
      </c>
      <c r="I48" s="76"/>
      <c r="J48" s="76"/>
      <c r="U48" s="76"/>
      <c r="V48" s="76"/>
    </row>
    <row r="49" spans="1:22" ht="20.25">
      <c r="A49" s="128"/>
      <c r="B49" s="76"/>
      <c r="C49" s="76"/>
      <c r="E49" s="891" t="s">
        <v>346</v>
      </c>
      <c r="F49" s="892"/>
      <c r="G49" s="893"/>
      <c r="H49" s="121" t="s">
        <v>82</v>
      </c>
      <c r="I49" s="76"/>
      <c r="J49" s="76"/>
      <c r="U49" s="76"/>
      <c r="V49" s="76"/>
    </row>
    <row r="50" spans="1:22" ht="18.75" thickBot="1">
      <c r="A50" s="76"/>
      <c r="B50" s="76"/>
      <c r="C50" s="76"/>
      <c r="E50" s="76"/>
      <c r="F50" s="76"/>
      <c r="G50" s="76"/>
      <c r="H50" s="76"/>
      <c r="I50" s="76"/>
      <c r="J50" s="76"/>
      <c r="K50" s="76"/>
      <c r="L50" s="76"/>
      <c r="M50" s="76"/>
      <c r="O50" s="76"/>
      <c r="P50" s="76"/>
      <c r="Q50" s="76"/>
      <c r="R50" s="76"/>
      <c r="S50" s="76"/>
      <c r="T50" s="76"/>
      <c r="U50" s="76"/>
      <c r="V50" s="76"/>
    </row>
    <row r="51" spans="1:20" ht="20.25">
      <c r="A51" s="119"/>
      <c r="B51" s="119"/>
      <c r="C51" s="130" t="s">
        <v>305</v>
      </c>
      <c r="D51" s="130" t="s">
        <v>300</v>
      </c>
      <c r="E51" s="119"/>
      <c r="F51" s="130" t="s">
        <v>31</v>
      </c>
      <c r="H51" s="842" t="s">
        <v>302</v>
      </c>
      <c r="I51" s="843"/>
      <c r="J51" s="844"/>
      <c r="K51" s="842" t="s">
        <v>303</v>
      </c>
      <c r="L51" s="843"/>
      <c r="M51" s="843"/>
      <c r="N51" s="844"/>
      <c r="O51" s="76"/>
      <c r="P51" s="76"/>
      <c r="Q51" s="76"/>
      <c r="R51" s="76"/>
      <c r="S51" s="76"/>
      <c r="T51" s="76"/>
    </row>
    <row r="52" spans="1:20" ht="21" thickBot="1">
      <c r="A52" s="131" t="s">
        <v>388</v>
      </c>
      <c r="B52" s="542" t="s">
        <v>36</v>
      </c>
      <c r="C52" s="134" t="s">
        <v>33</v>
      </c>
      <c r="D52" s="570" t="s">
        <v>327</v>
      </c>
      <c r="E52" s="133" t="s">
        <v>301</v>
      </c>
      <c r="F52" s="134" t="s">
        <v>32</v>
      </c>
      <c r="H52" s="585" t="s">
        <v>79</v>
      </c>
      <c r="I52" s="586" t="s">
        <v>305</v>
      </c>
      <c r="J52" s="587" t="s">
        <v>301</v>
      </c>
      <c r="K52" s="820" t="s">
        <v>304</v>
      </c>
      <c r="L52" s="821"/>
      <c r="M52" s="144"/>
      <c r="N52" s="135"/>
      <c r="O52" s="76"/>
      <c r="P52" s="76"/>
      <c r="Q52" s="76"/>
      <c r="R52" s="76"/>
      <c r="S52" s="76"/>
      <c r="T52" s="76"/>
    </row>
    <row r="53" spans="1:20" ht="18.75" thickTop="1">
      <c r="A53" s="164">
        <v>1</v>
      </c>
      <c r="B53" s="165">
        <v>5</v>
      </c>
      <c r="C53" s="165">
        <v>0</v>
      </c>
      <c r="D53" s="165">
        <v>1</v>
      </c>
      <c r="E53" s="165"/>
      <c r="F53" s="166">
        <f aca="true" t="shared" si="0" ref="F53:F78">IF(B53=0,0,(B53+0.2)/$H$48)</f>
        <v>4.333333333333334</v>
      </c>
      <c r="H53" s="280">
        <f>$G$16*F53</f>
        <v>21.233333333333334</v>
      </c>
      <c r="I53" s="166">
        <f aca="true" t="shared" si="1" ref="I53:I78">+C53*$P$12</f>
        <v>0</v>
      </c>
      <c r="J53" s="281">
        <f aca="true" t="shared" si="2" ref="J53:J78">+E53*$G$34</f>
        <v>0</v>
      </c>
      <c r="K53" s="831">
        <f aca="true" t="shared" si="3" ref="K53:K78">IF(B53&gt;0,$Q$20,0)</f>
        <v>1.2</v>
      </c>
      <c r="L53" s="832"/>
      <c r="M53" s="144"/>
      <c r="N53" s="163"/>
      <c r="O53" s="76"/>
      <c r="P53" s="76"/>
      <c r="Q53" s="76"/>
      <c r="R53" s="76"/>
      <c r="S53" s="76"/>
      <c r="T53" s="76"/>
    </row>
    <row r="54" spans="1:20" ht="18">
      <c r="A54" s="170">
        <f aca="true" t="shared" si="4" ref="A54:A78">+A53+1</f>
        <v>2</v>
      </c>
      <c r="B54" s="151">
        <v>5</v>
      </c>
      <c r="C54" s="151">
        <v>0</v>
      </c>
      <c r="D54" s="151">
        <v>1</v>
      </c>
      <c r="E54" s="151"/>
      <c r="F54" s="166">
        <f t="shared" si="0"/>
        <v>4.333333333333334</v>
      </c>
      <c r="H54" s="167">
        <f aca="true" t="shared" si="5" ref="H54:H78">$G$16*F54</f>
        <v>21.233333333333334</v>
      </c>
      <c r="I54" s="168">
        <f t="shared" si="1"/>
        <v>0</v>
      </c>
      <c r="J54" s="169">
        <f t="shared" si="2"/>
        <v>0</v>
      </c>
      <c r="K54" s="818">
        <f t="shared" si="3"/>
        <v>1.2</v>
      </c>
      <c r="L54" s="819"/>
      <c r="M54" s="144"/>
      <c r="N54" s="163"/>
      <c r="O54" s="76"/>
      <c r="P54" s="76"/>
      <c r="Q54" s="76"/>
      <c r="R54" s="76"/>
      <c r="S54" s="76"/>
      <c r="T54" s="76"/>
    </row>
    <row r="55" spans="1:20" ht="18">
      <c r="A55" s="170">
        <f t="shared" si="4"/>
        <v>3</v>
      </c>
      <c r="B55" s="151">
        <v>5</v>
      </c>
      <c r="C55" s="151">
        <v>0</v>
      </c>
      <c r="D55" s="151">
        <v>1</v>
      </c>
      <c r="E55" s="151"/>
      <c r="F55" s="166">
        <f t="shared" si="0"/>
        <v>4.333333333333334</v>
      </c>
      <c r="H55" s="167">
        <f t="shared" si="5"/>
        <v>21.233333333333334</v>
      </c>
      <c r="I55" s="168">
        <f t="shared" si="1"/>
        <v>0</v>
      </c>
      <c r="J55" s="169">
        <f t="shared" si="2"/>
        <v>0</v>
      </c>
      <c r="K55" s="818">
        <f t="shared" si="3"/>
        <v>1.2</v>
      </c>
      <c r="L55" s="819"/>
      <c r="M55" s="144"/>
      <c r="N55" s="163"/>
      <c r="O55" s="76"/>
      <c r="P55" s="76"/>
      <c r="Q55" s="76"/>
      <c r="R55" s="76"/>
      <c r="S55" s="76"/>
      <c r="T55" s="76"/>
    </row>
    <row r="56" spans="1:20" ht="18">
      <c r="A56" s="170">
        <f t="shared" si="4"/>
        <v>4</v>
      </c>
      <c r="B56" s="151">
        <v>5</v>
      </c>
      <c r="C56" s="151">
        <v>0</v>
      </c>
      <c r="D56" s="151">
        <v>2</v>
      </c>
      <c r="E56" s="151"/>
      <c r="F56" s="166">
        <f t="shared" si="0"/>
        <v>4.333333333333334</v>
      </c>
      <c r="H56" s="167">
        <f t="shared" si="5"/>
        <v>21.233333333333334</v>
      </c>
      <c r="I56" s="168">
        <f t="shared" si="1"/>
        <v>0</v>
      </c>
      <c r="J56" s="169">
        <f t="shared" si="2"/>
        <v>0</v>
      </c>
      <c r="K56" s="818">
        <f t="shared" si="3"/>
        <v>1.2</v>
      </c>
      <c r="L56" s="819"/>
      <c r="M56" s="144"/>
      <c r="N56" s="163"/>
      <c r="O56" s="76"/>
      <c r="P56" s="76"/>
      <c r="Q56" s="76"/>
      <c r="R56" s="76"/>
      <c r="S56" s="76"/>
      <c r="T56" s="76"/>
    </row>
    <row r="57" spans="1:20" ht="18">
      <c r="A57" s="170">
        <f t="shared" si="4"/>
        <v>5</v>
      </c>
      <c r="B57" s="151">
        <v>5</v>
      </c>
      <c r="C57" s="151">
        <v>0</v>
      </c>
      <c r="D57" s="151">
        <v>2</v>
      </c>
      <c r="E57" s="151"/>
      <c r="F57" s="166">
        <f t="shared" si="0"/>
        <v>4.333333333333334</v>
      </c>
      <c r="H57" s="167">
        <f t="shared" si="5"/>
        <v>21.233333333333334</v>
      </c>
      <c r="I57" s="168">
        <f t="shared" si="1"/>
        <v>0</v>
      </c>
      <c r="J57" s="169">
        <f t="shared" si="2"/>
        <v>0</v>
      </c>
      <c r="K57" s="818">
        <f t="shared" si="3"/>
        <v>1.2</v>
      </c>
      <c r="L57" s="819"/>
      <c r="M57" s="144"/>
      <c r="N57" s="163"/>
      <c r="O57" s="76"/>
      <c r="P57" s="76"/>
      <c r="Q57" s="76"/>
      <c r="R57" s="76"/>
      <c r="S57" s="76"/>
      <c r="T57" s="76"/>
    </row>
    <row r="58" spans="1:20" ht="18">
      <c r="A58" s="170">
        <f t="shared" si="4"/>
        <v>6</v>
      </c>
      <c r="B58" s="151">
        <v>5</v>
      </c>
      <c r="C58" s="151">
        <v>0</v>
      </c>
      <c r="D58" s="151">
        <v>2</v>
      </c>
      <c r="E58" s="151"/>
      <c r="F58" s="166">
        <f t="shared" si="0"/>
        <v>4.333333333333334</v>
      </c>
      <c r="H58" s="167">
        <f t="shared" si="5"/>
        <v>21.233333333333334</v>
      </c>
      <c r="I58" s="168">
        <f t="shared" si="1"/>
        <v>0</v>
      </c>
      <c r="J58" s="169">
        <f t="shared" si="2"/>
        <v>0</v>
      </c>
      <c r="K58" s="818">
        <f t="shared" si="3"/>
        <v>1.2</v>
      </c>
      <c r="L58" s="819"/>
      <c r="M58" s="144"/>
      <c r="N58" s="163"/>
      <c r="O58" s="76"/>
      <c r="P58" s="76"/>
      <c r="Q58" s="76"/>
      <c r="R58" s="76"/>
      <c r="S58" s="76"/>
      <c r="T58" s="76"/>
    </row>
    <row r="59" spans="1:20" ht="18">
      <c r="A59" s="170">
        <f t="shared" si="4"/>
        <v>7</v>
      </c>
      <c r="B59" s="151"/>
      <c r="C59" s="151"/>
      <c r="D59" s="151"/>
      <c r="E59" s="151"/>
      <c r="F59" s="166">
        <f t="shared" si="0"/>
        <v>0</v>
      </c>
      <c r="H59" s="167">
        <f t="shared" si="5"/>
        <v>0</v>
      </c>
      <c r="I59" s="168">
        <f t="shared" si="1"/>
        <v>0</v>
      </c>
      <c r="J59" s="169">
        <f t="shared" si="2"/>
        <v>0</v>
      </c>
      <c r="K59" s="818">
        <f t="shared" si="3"/>
        <v>0</v>
      </c>
      <c r="L59" s="819"/>
      <c r="M59" s="144"/>
      <c r="N59" s="163"/>
      <c r="O59" s="76"/>
      <c r="P59" s="76"/>
      <c r="Q59" s="76"/>
      <c r="R59" s="76"/>
      <c r="S59" s="76"/>
      <c r="T59" s="76"/>
    </row>
    <row r="60" spans="1:20" ht="18">
      <c r="A60" s="170">
        <f t="shared" si="4"/>
        <v>8</v>
      </c>
      <c r="B60" s="151"/>
      <c r="C60" s="151"/>
      <c r="D60" s="151"/>
      <c r="E60" s="151"/>
      <c r="F60" s="166">
        <f t="shared" si="0"/>
        <v>0</v>
      </c>
      <c r="H60" s="167">
        <f t="shared" si="5"/>
        <v>0</v>
      </c>
      <c r="I60" s="168">
        <f t="shared" si="1"/>
        <v>0</v>
      </c>
      <c r="J60" s="169">
        <f t="shared" si="2"/>
        <v>0</v>
      </c>
      <c r="K60" s="818">
        <f t="shared" si="3"/>
        <v>0</v>
      </c>
      <c r="L60" s="819"/>
      <c r="M60" s="144"/>
      <c r="N60" s="163"/>
      <c r="O60" s="76"/>
      <c r="P60" s="76"/>
      <c r="Q60" s="76"/>
      <c r="R60" s="76"/>
      <c r="S60" s="76"/>
      <c r="T60" s="76"/>
    </row>
    <row r="61" spans="1:20" ht="18">
      <c r="A61" s="170">
        <f t="shared" si="4"/>
        <v>9</v>
      </c>
      <c r="B61" s="151"/>
      <c r="C61" s="151"/>
      <c r="D61" s="151"/>
      <c r="E61" s="151"/>
      <c r="F61" s="166">
        <f t="shared" si="0"/>
        <v>0</v>
      </c>
      <c r="H61" s="167">
        <f t="shared" si="5"/>
        <v>0</v>
      </c>
      <c r="I61" s="168">
        <f t="shared" si="1"/>
        <v>0</v>
      </c>
      <c r="J61" s="169">
        <f t="shared" si="2"/>
        <v>0</v>
      </c>
      <c r="K61" s="818">
        <f t="shared" si="3"/>
        <v>0</v>
      </c>
      <c r="L61" s="819"/>
      <c r="M61" s="144"/>
      <c r="N61" s="163"/>
      <c r="O61" s="76"/>
      <c r="P61" s="76"/>
      <c r="Q61" s="76"/>
      <c r="R61" s="76"/>
      <c r="S61" s="76"/>
      <c r="T61" s="76"/>
    </row>
    <row r="62" spans="1:20" ht="18">
      <c r="A62" s="170">
        <f t="shared" si="4"/>
        <v>10</v>
      </c>
      <c r="B62" s="151"/>
      <c r="C62" s="151"/>
      <c r="D62" s="151"/>
      <c r="E62" s="151"/>
      <c r="F62" s="166">
        <f t="shared" si="0"/>
        <v>0</v>
      </c>
      <c r="H62" s="167">
        <f t="shared" si="5"/>
        <v>0</v>
      </c>
      <c r="I62" s="168">
        <f t="shared" si="1"/>
        <v>0</v>
      </c>
      <c r="J62" s="169">
        <f t="shared" si="2"/>
        <v>0</v>
      </c>
      <c r="K62" s="818">
        <f t="shared" si="3"/>
        <v>0</v>
      </c>
      <c r="L62" s="819"/>
      <c r="M62" s="144"/>
      <c r="N62" s="163"/>
      <c r="O62" s="76"/>
      <c r="P62" s="77"/>
      <c r="Q62" s="146"/>
      <c r="R62" s="146"/>
      <c r="S62" s="76"/>
      <c r="T62" s="76"/>
    </row>
    <row r="63" spans="1:20" ht="18">
      <c r="A63" s="170">
        <f t="shared" si="4"/>
        <v>11</v>
      </c>
      <c r="B63" s="151"/>
      <c r="C63" s="151"/>
      <c r="D63" s="151"/>
      <c r="E63" s="151"/>
      <c r="F63" s="166">
        <f t="shared" si="0"/>
        <v>0</v>
      </c>
      <c r="H63" s="167">
        <f t="shared" si="5"/>
        <v>0</v>
      </c>
      <c r="I63" s="168">
        <f t="shared" si="1"/>
        <v>0</v>
      </c>
      <c r="J63" s="169">
        <f t="shared" si="2"/>
        <v>0</v>
      </c>
      <c r="K63" s="818">
        <f t="shared" si="3"/>
        <v>0</v>
      </c>
      <c r="L63" s="819"/>
      <c r="M63" s="144"/>
      <c r="N63" s="163"/>
      <c r="O63" s="76"/>
      <c r="P63" s="77"/>
      <c r="Q63" s="146"/>
      <c r="R63" s="146"/>
      <c r="S63" s="76"/>
      <c r="T63" s="76"/>
    </row>
    <row r="64" spans="1:20" ht="18">
      <c r="A64" s="170">
        <f t="shared" si="4"/>
        <v>12</v>
      </c>
      <c r="B64" s="151"/>
      <c r="C64" s="151"/>
      <c r="D64" s="151"/>
      <c r="E64" s="151"/>
      <c r="F64" s="166">
        <f t="shared" si="0"/>
        <v>0</v>
      </c>
      <c r="H64" s="167">
        <f t="shared" si="5"/>
        <v>0</v>
      </c>
      <c r="I64" s="168">
        <f t="shared" si="1"/>
        <v>0</v>
      </c>
      <c r="J64" s="169">
        <f t="shared" si="2"/>
        <v>0</v>
      </c>
      <c r="K64" s="818">
        <f t="shared" si="3"/>
        <v>0</v>
      </c>
      <c r="L64" s="819"/>
      <c r="M64" s="144"/>
      <c r="N64" s="163"/>
      <c r="O64" s="76"/>
      <c r="P64" s="77"/>
      <c r="Q64" s="146"/>
      <c r="R64" s="146"/>
      <c r="S64" s="76"/>
      <c r="T64" s="76"/>
    </row>
    <row r="65" spans="1:20" ht="18">
      <c r="A65" s="170">
        <f t="shared" si="4"/>
        <v>13</v>
      </c>
      <c r="B65" s="151"/>
      <c r="C65" s="151"/>
      <c r="D65" s="151"/>
      <c r="E65" s="151"/>
      <c r="F65" s="166">
        <f t="shared" si="0"/>
        <v>0</v>
      </c>
      <c r="H65" s="167">
        <f t="shared" si="5"/>
        <v>0</v>
      </c>
      <c r="I65" s="168">
        <f t="shared" si="1"/>
        <v>0</v>
      </c>
      <c r="J65" s="169">
        <f t="shared" si="2"/>
        <v>0</v>
      </c>
      <c r="K65" s="818">
        <f t="shared" si="3"/>
        <v>0</v>
      </c>
      <c r="L65" s="819"/>
      <c r="M65" s="144"/>
      <c r="N65" s="163"/>
      <c r="O65" s="76"/>
      <c r="P65" s="77"/>
      <c r="Q65" s="146"/>
      <c r="R65" s="146"/>
      <c r="S65" s="76"/>
      <c r="T65" s="76"/>
    </row>
    <row r="66" spans="1:20" ht="18">
      <c r="A66" s="170">
        <f t="shared" si="4"/>
        <v>14</v>
      </c>
      <c r="B66" s="151"/>
      <c r="C66" s="151"/>
      <c r="D66" s="151"/>
      <c r="E66" s="151"/>
      <c r="F66" s="166">
        <f t="shared" si="0"/>
        <v>0</v>
      </c>
      <c r="H66" s="167">
        <f t="shared" si="5"/>
        <v>0</v>
      </c>
      <c r="I66" s="168">
        <f t="shared" si="1"/>
        <v>0</v>
      </c>
      <c r="J66" s="169">
        <f t="shared" si="2"/>
        <v>0</v>
      </c>
      <c r="K66" s="818">
        <f t="shared" si="3"/>
        <v>0</v>
      </c>
      <c r="L66" s="819"/>
      <c r="M66" s="144"/>
      <c r="N66" s="163"/>
      <c r="O66" s="76"/>
      <c r="P66" s="77"/>
      <c r="Q66" s="146"/>
      <c r="R66" s="146"/>
      <c r="S66" s="76"/>
      <c r="T66" s="76"/>
    </row>
    <row r="67" spans="1:20" ht="18">
      <c r="A67" s="170">
        <f t="shared" si="4"/>
        <v>15</v>
      </c>
      <c r="B67" s="151"/>
      <c r="C67" s="151"/>
      <c r="D67" s="151"/>
      <c r="E67" s="151"/>
      <c r="F67" s="166">
        <f t="shared" si="0"/>
        <v>0</v>
      </c>
      <c r="H67" s="167">
        <f t="shared" si="5"/>
        <v>0</v>
      </c>
      <c r="I67" s="168">
        <f t="shared" si="1"/>
        <v>0</v>
      </c>
      <c r="J67" s="169">
        <f t="shared" si="2"/>
        <v>0</v>
      </c>
      <c r="K67" s="818">
        <f t="shared" si="3"/>
        <v>0</v>
      </c>
      <c r="L67" s="819"/>
      <c r="M67" s="144"/>
      <c r="N67" s="163"/>
      <c r="O67" s="76"/>
      <c r="P67" s="77"/>
      <c r="Q67" s="146"/>
      <c r="R67" s="146"/>
      <c r="S67" s="76"/>
      <c r="T67" s="76"/>
    </row>
    <row r="68" spans="1:20" ht="18">
      <c r="A68" s="170">
        <f t="shared" si="4"/>
        <v>16</v>
      </c>
      <c r="B68" s="151"/>
      <c r="C68" s="151"/>
      <c r="D68" s="151"/>
      <c r="E68" s="151"/>
      <c r="F68" s="166">
        <f t="shared" si="0"/>
        <v>0</v>
      </c>
      <c r="H68" s="167">
        <f t="shared" si="5"/>
        <v>0</v>
      </c>
      <c r="I68" s="168">
        <f t="shared" si="1"/>
        <v>0</v>
      </c>
      <c r="J68" s="169">
        <f t="shared" si="2"/>
        <v>0</v>
      </c>
      <c r="K68" s="818">
        <f t="shared" si="3"/>
        <v>0</v>
      </c>
      <c r="L68" s="819"/>
      <c r="M68" s="144"/>
      <c r="N68" s="163"/>
      <c r="O68" s="76"/>
      <c r="P68" s="77"/>
      <c r="Q68" s="146"/>
      <c r="R68" s="146"/>
      <c r="S68" s="76"/>
      <c r="T68" s="76"/>
    </row>
    <row r="69" spans="1:20" ht="18">
      <c r="A69" s="170">
        <f t="shared" si="4"/>
        <v>17</v>
      </c>
      <c r="B69" s="151"/>
      <c r="C69" s="151"/>
      <c r="D69" s="151"/>
      <c r="E69" s="151"/>
      <c r="F69" s="166">
        <f t="shared" si="0"/>
        <v>0</v>
      </c>
      <c r="H69" s="167">
        <f t="shared" si="5"/>
        <v>0</v>
      </c>
      <c r="I69" s="168">
        <f t="shared" si="1"/>
        <v>0</v>
      </c>
      <c r="J69" s="169">
        <f t="shared" si="2"/>
        <v>0</v>
      </c>
      <c r="K69" s="818">
        <f t="shared" si="3"/>
        <v>0</v>
      </c>
      <c r="L69" s="819"/>
      <c r="M69" s="144"/>
      <c r="N69" s="163"/>
      <c r="O69" s="76"/>
      <c r="P69" s="77"/>
      <c r="Q69" s="146"/>
      <c r="R69" s="146"/>
      <c r="S69" s="76"/>
      <c r="T69" s="76"/>
    </row>
    <row r="70" spans="1:20" ht="18">
      <c r="A70" s="170">
        <f t="shared" si="4"/>
        <v>18</v>
      </c>
      <c r="B70" s="151"/>
      <c r="C70" s="151"/>
      <c r="D70" s="151"/>
      <c r="E70" s="151"/>
      <c r="F70" s="166">
        <f t="shared" si="0"/>
        <v>0</v>
      </c>
      <c r="H70" s="167">
        <f t="shared" si="5"/>
        <v>0</v>
      </c>
      <c r="I70" s="168">
        <f t="shared" si="1"/>
        <v>0</v>
      </c>
      <c r="J70" s="169">
        <f t="shared" si="2"/>
        <v>0</v>
      </c>
      <c r="K70" s="818">
        <f t="shared" si="3"/>
        <v>0</v>
      </c>
      <c r="L70" s="819"/>
      <c r="M70" s="144"/>
      <c r="N70" s="163"/>
      <c r="O70" s="76"/>
      <c r="P70" s="77"/>
      <c r="Q70" s="146"/>
      <c r="R70" s="146"/>
      <c r="S70" s="76"/>
      <c r="T70" s="76"/>
    </row>
    <row r="71" spans="1:20" ht="18">
      <c r="A71" s="170">
        <f t="shared" si="4"/>
        <v>19</v>
      </c>
      <c r="B71" s="151"/>
      <c r="C71" s="151"/>
      <c r="D71" s="151"/>
      <c r="E71" s="151"/>
      <c r="F71" s="166">
        <f t="shared" si="0"/>
        <v>0</v>
      </c>
      <c r="H71" s="167">
        <f t="shared" si="5"/>
        <v>0</v>
      </c>
      <c r="I71" s="168">
        <f t="shared" si="1"/>
        <v>0</v>
      </c>
      <c r="J71" s="169">
        <f t="shared" si="2"/>
        <v>0</v>
      </c>
      <c r="K71" s="818">
        <f t="shared" si="3"/>
        <v>0</v>
      </c>
      <c r="L71" s="819"/>
      <c r="M71" s="144"/>
      <c r="N71" s="163"/>
      <c r="O71" s="76"/>
      <c r="P71" s="77"/>
      <c r="Q71" s="146"/>
      <c r="R71" s="146"/>
      <c r="S71" s="76"/>
      <c r="T71" s="76"/>
    </row>
    <row r="72" spans="1:20" ht="18">
      <c r="A72" s="170">
        <f t="shared" si="4"/>
        <v>20</v>
      </c>
      <c r="B72" s="151"/>
      <c r="C72" s="151"/>
      <c r="D72" s="151"/>
      <c r="E72" s="151"/>
      <c r="F72" s="166">
        <f t="shared" si="0"/>
        <v>0</v>
      </c>
      <c r="H72" s="167">
        <f t="shared" si="5"/>
        <v>0</v>
      </c>
      <c r="I72" s="168">
        <f t="shared" si="1"/>
        <v>0</v>
      </c>
      <c r="J72" s="169">
        <f t="shared" si="2"/>
        <v>0</v>
      </c>
      <c r="K72" s="818">
        <f t="shared" si="3"/>
        <v>0</v>
      </c>
      <c r="L72" s="819"/>
      <c r="M72" s="144"/>
      <c r="N72" s="163"/>
      <c r="O72" s="76"/>
      <c r="P72" s="77"/>
      <c r="Q72" s="146"/>
      <c r="R72" s="146"/>
      <c r="S72" s="76"/>
      <c r="T72" s="76"/>
    </row>
    <row r="73" spans="1:20" ht="18">
      <c r="A73" s="170">
        <f t="shared" si="4"/>
        <v>21</v>
      </c>
      <c r="B73" s="151"/>
      <c r="C73" s="151"/>
      <c r="D73" s="151"/>
      <c r="E73" s="151"/>
      <c r="F73" s="166">
        <f t="shared" si="0"/>
        <v>0</v>
      </c>
      <c r="H73" s="167">
        <f t="shared" si="5"/>
        <v>0</v>
      </c>
      <c r="I73" s="168">
        <f t="shared" si="1"/>
        <v>0</v>
      </c>
      <c r="J73" s="169">
        <f t="shared" si="2"/>
        <v>0</v>
      </c>
      <c r="K73" s="818">
        <f t="shared" si="3"/>
        <v>0</v>
      </c>
      <c r="L73" s="819"/>
      <c r="M73" s="144"/>
      <c r="N73" s="163"/>
      <c r="O73" s="76"/>
      <c r="P73" s="77"/>
      <c r="Q73" s="146"/>
      <c r="R73" s="146"/>
      <c r="S73" s="76"/>
      <c r="T73" s="76"/>
    </row>
    <row r="74" spans="1:20" ht="18">
      <c r="A74" s="170">
        <f t="shared" si="4"/>
        <v>22</v>
      </c>
      <c r="B74" s="151"/>
      <c r="C74" s="151"/>
      <c r="D74" s="151"/>
      <c r="E74" s="151"/>
      <c r="F74" s="166">
        <f t="shared" si="0"/>
        <v>0</v>
      </c>
      <c r="H74" s="167">
        <f t="shared" si="5"/>
        <v>0</v>
      </c>
      <c r="I74" s="168">
        <f t="shared" si="1"/>
        <v>0</v>
      </c>
      <c r="J74" s="169">
        <f t="shared" si="2"/>
        <v>0</v>
      </c>
      <c r="K74" s="818">
        <f t="shared" si="3"/>
        <v>0</v>
      </c>
      <c r="L74" s="819"/>
      <c r="M74" s="144"/>
      <c r="N74" s="163"/>
      <c r="O74" s="76"/>
      <c r="P74" s="76"/>
      <c r="Q74" s="76"/>
      <c r="R74" s="76"/>
      <c r="S74" s="76"/>
      <c r="T74" s="76"/>
    </row>
    <row r="75" spans="1:20" ht="18">
      <c r="A75" s="170">
        <f t="shared" si="4"/>
        <v>23</v>
      </c>
      <c r="B75" s="151"/>
      <c r="C75" s="151"/>
      <c r="D75" s="151"/>
      <c r="E75" s="151"/>
      <c r="F75" s="166">
        <f t="shared" si="0"/>
        <v>0</v>
      </c>
      <c r="H75" s="167">
        <f t="shared" si="5"/>
        <v>0</v>
      </c>
      <c r="I75" s="168">
        <f t="shared" si="1"/>
        <v>0</v>
      </c>
      <c r="J75" s="169">
        <f t="shared" si="2"/>
        <v>0</v>
      </c>
      <c r="K75" s="818">
        <f t="shared" si="3"/>
        <v>0</v>
      </c>
      <c r="L75" s="819"/>
      <c r="M75" s="144"/>
      <c r="N75" s="163"/>
      <c r="O75" s="76"/>
      <c r="P75" s="76"/>
      <c r="Q75" s="76"/>
      <c r="R75" s="76"/>
      <c r="S75" s="76"/>
      <c r="T75" s="76"/>
    </row>
    <row r="76" spans="1:20" ht="18.75" thickBot="1">
      <c r="A76" s="170">
        <f t="shared" si="4"/>
        <v>24</v>
      </c>
      <c r="B76" s="151"/>
      <c r="C76" s="151"/>
      <c r="D76" s="151"/>
      <c r="E76" s="151"/>
      <c r="F76" s="166">
        <f t="shared" si="0"/>
        <v>0</v>
      </c>
      <c r="H76" s="167">
        <f t="shared" si="5"/>
        <v>0</v>
      </c>
      <c r="I76" s="168">
        <f t="shared" si="1"/>
        <v>0</v>
      </c>
      <c r="J76" s="169">
        <f t="shared" si="2"/>
        <v>0</v>
      </c>
      <c r="K76" s="818">
        <f t="shared" si="3"/>
        <v>0</v>
      </c>
      <c r="L76" s="819"/>
      <c r="M76" s="144"/>
      <c r="N76" s="163"/>
      <c r="O76" s="76"/>
      <c r="P76" s="76"/>
      <c r="Q76" s="76"/>
      <c r="R76" s="76"/>
      <c r="S76" s="76"/>
      <c r="T76" s="76"/>
    </row>
    <row r="77" spans="1:20" ht="20.25">
      <c r="A77" s="170">
        <f t="shared" si="4"/>
        <v>25</v>
      </c>
      <c r="B77" s="151"/>
      <c r="C77" s="151"/>
      <c r="D77" s="151"/>
      <c r="E77" s="151"/>
      <c r="F77" s="166">
        <f t="shared" si="0"/>
        <v>0</v>
      </c>
      <c r="H77" s="167">
        <f t="shared" si="5"/>
        <v>0</v>
      </c>
      <c r="I77" s="168">
        <f t="shared" si="1"/>
        <v>0</v>
      </c>
      <c r="J77" s="169">
        <f t="shared" si="2"/>
        <v>0</v>
      </c>
      <c r="K77" s="818">
        <f t="shared" si="3"/>
        <v>0</v>
      </c>
      <c r="L77" s="819" t="s">
        <v>300</v>
      </c>
      <c r="M77" s="590" t="s">
        <v>300</v>
      </c>
      <c r="N77" s="171"/>
      <c r="O77" s="857" t="s">
        <v>425</v>
      </c>
      <c r="P77" s="858"/>
      <c r="Q77" s="858"/>
      <c r="R77" s="859"/>
      <c r="S77" s="76"/>
      <c r="T77" s="76"/>
    </row>
    <row r="78" spans="1:18" ht="21" thickBot="1">
      <c r="A78" s="170">
        <f t="shared" si="4"/>
        <v>26</v>
      </c>
      <c r="B78" s="151"/>
      <c r="C78" s="151"/>
      <c r="D78" s="151"/>
      <c r="E78" s="151"/>
      <c r="F78" s="166">
        <f t="shared" si="0"/>
        <v>0</v>
      </c>
      <c r="H78" s="167">
        <f t="shared" si="5"/>
        <v>0</v>
      </c>
      <c r="I78" s="168">
        <f t="shared" si="1"/>
        <v>0</v>
      </c>
      <c r="J78" s="169">
        <f t="shared" si="2"/>
        <v>0</v>
      </c>
      <c r="K78" s="818">
        <f t="shared" si="3"/>
        <v>0</v>
      </c>
      <c r="L78" s="819" t="s">
        <v>327</v>
      </c>
      <c r="M78" s="558" t="s">
        <v>327</v>
      </c>
      <c r="N78" s="284" t="s">
        <v>306</v>
      </c>
      <c r="O78" s="860"/>
      <c r="P78" s="861"/>
      <c r="Q78" s="861"/>
      <c r="R78" s="862"/>
    </row>
    <row r="79" spans="1:20" ht="21.75" thickBot="1" thickTop="1">
      <c r="A79" s="76"/>
      <c r="B79" s="172">
        <f>SUM(B53:B78)</f>
        <v>30</v>
      </c>
      <c r="C79" s="172">
        <f>SUM(C53:C78)</f>
        <v>0</v>
      </c>
      <c r="D79" s="172">
        <f>MAX(D53:D78)</f>
        <v>2</v>
      </c>
      <c r="E79" s="76"/>
      <c r="F79" s="76"/>
      <c r="H79" s="136">
        <f>SUM(H53:H78)</f>
        <v>127.4</v>
      </c>
      <c r="I79" s="137">
        <f>SUM(I53:I78)</f>
        <v>0</v>
      </c>
      <c r="J79" s="138">
        <f>SUM(J53:J78)</f>
        <v>0</v>
      </c>
      <c r="K79" s="847">
        <f>SUM(K53:K78)</f>
        <v>7.2</v>
      </c>
      <c r="L79" s="848"/>
      <c r="M79" s="290">
        <f>+D79*Q28</f>
        <v>0</v>
      </c>
      <c r="N79" s="337">
        <f>+Q42*(1+A81)</f>
        <v>8</v>
      </c>
      <c r="O79" s="827">
        <f>SUM(H79:N79)</f>
        <v>142.6</v>
      </c>
      <c r="P79" s="828"/>
      <c r="Q79" s="845" t="s">
        <v>99</v>
      </c>
      <c r="R79" s="846"/>
      <c r="S79" s="76"/>
      <c r="T79" s="76"/>
    </row>
    <row r="80" spans="1:20" ht="21" thickBot="1">
      <c r="A80" s="851" t="s">
        <v>299</v>
      </c>
      <c r="B80" s="852"/>
      <c r="C80" s="852"/>
      <c r="D80" s="852"/>
      <c r="E80" s="852"/>
      <c r="F80" s="853"/>
      <c r="G80" s="76"/>
      <c r="I80" s="119"/>
      <c r="J80" s="119"/>
      <c r="K80" s="119"/>
      <c r="L80" s="119"/>
      <c r="M80" s="119"/>
      <c r="N80" s="119"/>
      <c r="O80" s="829">
        <f>+O79/60</f>
        <v>2.3766666666666665</v>
      </c>
      <c r="P80" s="830"/>
      <c r="Q80" s="825" t="s">
        <v>4</v>
      </c>
      <c r="R80" s="826"/>
      <c r="S80" s="76"/>
      <c r="T80" s="76"/>
    </row>
    <row r="81" spans="1:22" ht="21" thickBot="1">
      <c r="A81" s="839">
        <v>0</v>
      </c>
      <c r="B81" s="840"/>
      <c r="C81" s="840"/>
      <c r="D81" s="840"/>
      <c r="E81" s="840"/>
      <c r="F81" s="841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</row>
    <row r="82" spans="1:22" ht="30" customHeight="1" thickBot="1">
      <c r="A82" s="76"/>
      <c r="B82" s="76"/>
      <c r="C82" s="76"/>
      <c r="D82" s="76"/>
      <c r="E82" s="76"/>
      <c r="F82" s="76"/>
      <c r="G82" s="76"/>
      <c r="H82" s="76"/>
      <c r="I82" s="849" t="s">
        <v>34</v>
      </c>
      <c r="J82" s="850"/>
      <c r="K82" s="850"/>
      <c r="L82" s="850"/>
      <c r="M82" s="850"/>
      <c r="N82" s="229"/>
      <c r="O82" s="588">
        <f>ROUNDUP(B79/O79*60,1)</f>
        <v>12.7</v>
      </c>
      <c r="P82" s="230" t="s">
        <v>282</v>
      </c>
      <c r="Q82" s="231"/>
      <c r="R82" s="231"/>
      <c r="U82" s="76"/>
      <c r="V82" s="76"/>
    </row>
    <row r="83" spans="1:22" ht="18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</row>
    <row r="84" spans="1:22" ht="20.25">
      <c r="A84" s="76"/>
      <c r="B84" s="76"/>
      <c r="C84" s="76"/>
      <c r="D84" s="76"/>
      <c r="E84" s="76"/>
      <c r="F84" s="76"/>
      <c r="G84" s="76"/>
      <c r="H84" s="76"/>
      <c r="I84"/>
      <c r="J84"/>
      <c r="K84"/>
      <c r="L84"/>
      <c r="M84"/>
      <c r="N84"/>
      <c r="O84" s="232">
        <f>+O82*3.28</f>
        <v>41.65599999999999</v>
      </c>
      <c r="P84" s="230" t="s">
        <v>307</v>
      </c>
      <c r="Q84" s="76"/>
      <c r="R84" s="76"/>
      <c r="S84" s="76"/>
      <c r="T84" s="76"/>
      <c r="U84" s="76"/>
      <c r="V84" s="76"/>
    </row>
    <row r="85" spans="1:52" ht="18">
      <c r="A85" s="76"/>
      <c r="B85" s="76"/>
      <c r="C85" s="76"/>
      <c r="D85" s="76"/>
      <c r="E85" s="76"/>
      <c r="F85" s="76"/>
      <c r="G85" s="76"/>
      <c r="H85" s="7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8">
      <c r="A86" s="76"/>
      <c r="B86" s="76"/>
      <c r="C86" s="76"/>
      <c r="D86" s="76"/>
      <c r="E86" s="76"/>
      <c r="F86" s="76"/>
      <c r="G86" s="76"/>
      <c r="H86" s="7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8">
      <c r="A87" s="76"/>
      <c r="B87" s="76"/>
      <c r="C87" s="76"/>
      <c r="D87" s="76"/>
      <c r="E87" s="76"/>
      <c r="F87" s="76"/>
      <c r="G87" s="76"/>
      <c r="H87" s="76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22" ht="18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1:22" ht="18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1:22" ht="18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1:22" ht="18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1:22" ht="18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1:22" ht="18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1:22" ht="18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1:22" ht="18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1:22" ht="18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</sheetData>
  <mergeCells count="73">
    <mergeCell ref="A80:F80"/>
    <mergeCell ref="B8:F8"/>
    <mergeCell ref="L8:O8"/>
    <mergeCell ref="B9:F9"/>
    <mergeCell ref="L9:O9"/>
    <mergeCell ref="B10:F10"/>
    <mergeCell ref="L10:O10"/>
    <mergeCell ref="B11:F11"/>
    <mergeCell ref="L11:O11"/>
    <mergeCell ref="B12:F12"/>
    <mergeCell ref="B13:F13"/>
    <mergeCell ref="B14:F14"/>
    <mergeCell ref="B15:F15"/>
    <mergeCell ref="K17:P17"/>
    <mergeCell ref="K18:P18"/>
    <mergeCell ref="K19:P19"/>
    <mergeCell ref="K25:P25"/>
    <mergeCell ref="K26:P26"/>
    <mergeCell ref="K27:P27"/>
    <mergeCell ref="B28:F28"/>
    <mergeCell ref="B29:F29"/>
    <mergeCell ref="B30:F30"/>
    <mergeCell ref="B31:F31"/>
    <mergeCell ref="B32:F32"/>
    <mergeCell ref="B33:F33"/>
    <mergeCell ref="K33:P33"/>
    <mergeCell ref="K34:P34"/>
    <mergeCell ref="K35:P35"/>
    <mergeCell ref="K36:P36"/>
    <mergeCell ref="K37:P37"/>
    <mergeCell ref="K38:P38"/>
    <mergeCell ref="K39:P39"/>
    <mergeCell ref="K40:P40"/>
    <mergeCell ref="A81:F81"/>
    <mergeCell ref="K64:L64"/>
    <mergeCell ref="K65:L65"/>
    <mergeCell ref="K66:L66"/>
    <mergeCell ref="K67:L67"/>
    <mergeCell ref="K68:L68"/>
    <mergeCell ref="K69:L69"/>
    <mergeCell ref="I82:M82"/>
    <mergeCell ref="K41:P41"/>
    <mergeCell ref="E48:G48"/>
    <mergeCell ref="H51:J51"/>
    <mergeCell ref="E49:G49"/>
    <mergeCell ref="K51:N51"/>
    <mergeCell ref="K52:L52"/>
    <mergeCell ref="K61:L61"/>
    <mergeCell ref="K62:L62"/>
    <mergeCell ref="K63:L63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O79:P79"/>
    <mergeCell ref="Q79:R79"/>
    <mergeCell ref="O77:R78"/>
    <mergeCell ref="O80:P80"/>
    <mergeCell ref="Q80:R80"/>
    <mergeCell ref="K53:L53"/>
    <mergeCell ref="K54:L54"/>
    <mergeCell ref="K55:L55"/>
    <mergeCell ref="K56:L56"/>
    <mergeCell ref="K57:L57"/>
    <mergeCell ref="K58:L58"/>
    <mergeCell ref="K59:L59"/>
    <mergeCell ref="K60:L60"/>
  </mergeCells>
  <printOptions/>
  <pageMargins left="0.75" right="0.75" top="1" bottom="1" header="0.4921259845" footer="0.4921259845"/>
  <pageSetup cellComments="asDisplayed" horizontalDpi="600" verticalDpi="600" orientation="landscape" scale="45" r:id="rId3"/>
  <headerFooter alignWithMargins="0">
    <oddFooter>&amp;LFichier : &amp;F
Onglet : &amp;A
Page &amp;P de &amp;N&amp;CMine-laboratoire
Val-d'Or
&amp;R&amp;D
&amp;T</oddFooter>
  </headerFooter>
  <rowBreaks count="1" manualBreakCount="1">
    <brk id="44" max="1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75" zoomScaleNormal="75" workbookViewId="0" topLeftCell="A1">
      <selection activeCell="L13" sqref="L13"/>
    </sheetView>
  </sheetViews>
  <sheetFormatPr defaultColWidth="9.140625" defaultRowHeight="12.75"/>
  <cols>
    <col min="1" max="1" width="9.57421875" style="0" customWidth="1"/>
    <col min="2" max="16384" width="11.421875" style="0" customWidth="1"/>
  </cols>
  <sheetData/>
  <printOptions/>
  <pageMargins left="0.75" right="0.75" top="1" bottom="1" header="0.4921259845" footer="0.4921259845"/>
  <pageSetup fitToHeight="1" fitToWidth="1" horizontalDpi="600" verticalDpi="600" orientation="portrait" scale="88" r:id="rId2"/>
  <headerFooter alignWithMargins="0">
    <oddFooter>&amp;LFichier : &amp;F
Onglet : &amp;A
Page &amp;P de &amp;N&amp;CMine-laboratoire
 Val-d'Or&amp;R&amp;D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Canmet-MMSL</dc:creator>
  <cp:keywords/>
  <dc:description/>
  <cp:lastModifiedBy>Roger Lacroix</cp:lastModifiedBy>
  <cp:lastPrinted>2004-04-02T18:42:19Z</cp:lastPrinted>
  <dcterms:created xsi:type="dcterms:W3CDTF">2000-05-03T18:12:35Z</dcterms:created>
  <dcterms:modified xsi:type="dcterms:W3CDTF">2004-04-02T18:42:42Z</dcterms:modified>
  <cp:category/>
  <cp:version/>
  <cp:contentType/>
  <cp:contentStatus/>
</cp:coreProperties>
</file>