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65521" windowWidth="5805" windowHeight="6195" tabRatio="601" activeTab="0"/>
  </bookViews>
  <sheets>
    <sheet name="Trous_vert" sheetId="1" r:id="rId1"/>
    <sheet name="Trous_hor" sheetId="2" r:id="rId2"/>
    <sheet name="Déblayage" sheetId="3" r:id="rId3"/>
    <sheet name="Remblai" sheetId="4" r:id="rId4"/>
    <sheet name="Dessins" sheetId="5" r:id="rId5"/>
  </sheets>
  <definedNames>
    <definedName name="_xlnm.Print_Area" localSheetId="1">'Trous_hor'!$A$5:$K$230</definedName>
    <definedName name="_xlnm.Print_Area" localSheetId="0">'Trous_vert'!$A$1:$L$190</definedName>
    <definedName name="_xlnm.Print_Titles" localSheetId="1">'Trous_hor'!$1:$4</definedName>
    <definedName name="_xlnm.Print_Titles" localSheetId="0">'Trous_vert'!$1:$4</definedName>
  </definedNames>
  <calcPr fullCalcOnLoad="1"/>
</workbook>
</file>

<file path=xl/comments1.xml><?xml version="1.0" encoding="utf-8"?>
<comments xmlns="http://schemas.openxmlformats.org/spreadsheetml/2006/main">
  <authors>
    <author>rolacroi</author>
    <author>Canmet-MMSL</author>
  </authors>
  <commentList>
    <comment ref="F81" authorId="0">
      <text>
        <r>
          <rPr>
            <sz val="11"/>
            <rFont val="Tahoma"/>
            <family val="2"/>
          </rPr>
          <t xml:space="preserve">Longueur à miner sans les volées d'ouverture et sans la monterie principale
</t>
        </r>
      </text>
    </comment>
    <comment ref="B89" authorId="0">
      <text>
        <r>
          <rPr>
            <b/>
            <sz val="8"/>
            <rFont val="Tahoma"/>
            <family val="0"/>
          </rPr>
          <t xml:space="preserve">Temps nécessaire pour écailler 1 m. de chantier sur les deux murs et le toit incluant la vérification des fonds de trous. 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</text>
    </comment>
    <comment ref="B104" authorId="1">
      <text>
        <r>
          <rPr>
            <b/>
            <sz val="8"/>
            <rFont val="Tahoma"/>
            <family val="0"/>
          </rPr>
          <t>voir onglet  DÉBLAYAGE</t>
        </r>
        <r>
          <rPr>
            <sz val="8"/>
            <rFont val="Tahoma"/>
            <family val="0"/>
          </rPr>
          <t xml:space="preserve">
</t>
        </r>
      </text>
    </comment>
    <comment ref="E104" authorId="1">
      <text>
        <r>
          <rPr>
            <sz val="11"/>
            <rFont val="Tahoma"/>
            <family val="2"/>
          </rPr>
          <t>voir l'onglet "Déblayage"</t>
        </r>
      </text>
    </comment>
    <comment ref="E107" authorId="0">
      <text>
        <r>
          <rPr>
            <sz val="11"/>
            <rFont val="Tahoma"/>
            <family val="2"/>
          </rPr>
          <t>Si la teneur ne justifie pas le temps requis pour le nettoyage final, inscrire "0" dans la case "m</t>
        </r>
        <r>
          <rPr>
            <vertAlign val="super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 xml:space="preserve">/heure"
</t>
        </r>
      </text>
    </comment>
    <comment ref="F164" authorId="0">
      <text>
        <r>
          <rPr>
            <b/>
            <sz val="8"/>
            <rFont val="Tahoma"/>
            <family val="0"/>
          </rPr>
          <t>NON-PROPORTIONNEL AU NOMBRE D'HOMMES DANS LE CHANTIER</t>
        </r>
        <r>
          <rPr>
            <sz val="8"/>
            <rFont val="Tahoma"/>
            <family val="0"/>
          </rPr>
          <t xml:space="preserve">
</t>
        </r>
      </text>
    </comment>
    <comment ref="I164" authorId="0">
      <text>
        <r>
          <rPr>
            <b/>
            <sz val="8"/>
            <rFont val="Tahoma"/>
            <family val="0"/>
          </rPr>
          <t>NON-PROPORTIONNEL AU NOMBRE D'HOMMES DANS LE CHANTIER</t>
        </r>
        <r>
          <rPr>
            <sz val="8"/>
            <rFont val="Tahoma"/>
            <family val="0"/>
          </rPr>
          <t xml:space="preserve">
</t>
        </r>
      </text>
    </comment>
    <comment ref="E134" authorId="0">
      <text>
        <r>
          <rPr>
            <sz val="11"/>
            <rFont val="Tahoma"/>
            <family val="2"/>
          </rPr>
          <t>Le nombre de trous par sautage doit être un multiple de la case "Nbre de trous par rangée" de la section "Patron de forage"</t>
        </r>
      </text>
    </comment>
    <comment ref="B107" authorId="0">
      <text>
        <r>
          <rPr>
            <sz val="11"/>
            <rFont val="Tahoma"/>
            <family val="2"/>
          </rPr>
          <t>Si la teneur ne justifie pas le temps requis pour le nettoyage final, inscrire "0" dans la case "m</t>
        </r>
        <r>
          <rPr>
            <vertAlign val="superscript"/>
            <sz val="11"/>
            <rFont val="Tahoma"/>
            <family val="2"/>
          </rPr>
          <t>2</t>
        </r>
        <r>
          <rPr>
            <sz val="11"/>
            <rFont val="Tahoma"/>
            <family val="2"/>
          </rPr>
          <t xml:space="preserve">/heure"
</t>
        </r>
      </text>
    </comment>
    <comment ref="J121" authorId="0">
      <text>
        <r>
          <rPr>
            <b/>
            <sz val="11"/>
            <rFont val="Tahoma"/>
            <family val="2"/>
          </rPr>
          <t>Distance entre les rangées</t>
        </r>
      </text>
    </comment>
  </commentList>
</comments>
</file>

<file path=xl/comments2.xml><?xml version="1.0" encoding="utf-8"?>
<comments xmlns="http://schemas.openxmlformats.org/spreadsheetml/2006/main">
  <authors>
    <author>rolacroi</author>
    <author>Canmet-MMSL</author>
  </authors>
  <commentList>
    <comment ref="F89" authorId="0">
      <text>
        <r>
          <rPr>
            <sz val="11"/>
            <rFont val="Tahoma"/>
            <family val="2"/>
          </rPr>
          <t xml:space="preserve">Longueur à miner sans la monterie principale
</t>
        </r>
      </text>
    </comment>
    <comment ref="B97" authorId="0">
      <text>
        <r>
          <rPr>
            <b/>
            <sz val="11"/>
            <rFont val="Tahoma"/>
            <family val="2"/>
          </rPr>
          <t>Temps requis pour écailler un mètre (le toit et les deux épontes) et nettoyer les fonds de trous</t>
        </r>
        <r>
          <rPr>
            <sz val="11"/>
            <rFont val="Tahoma"/>
            <family val="2"/>
          </rPr>
          <t xml:space="preserve">
</t>
        </r>
      </text>
    </comment>
    <comment ref="E114" authorId="1">
      <text>
        <r>
          <rPr>
            <sz val="11"/>
            <rFont val="Tahoma"/>
            <family val="2"/>
          </rPr>
          <t>voir onglet  DÉBLAYAGE</t>
        </r>
      </text>
    </comment>
    <comment ref="B114" authorId="1">
      <text>
        <r>
          <rPr>
            <sz val="11"/>
            <rFont val="Tahoma"/>
            <family val="2"/>
          </rPr>
          <t>voir l'onglet "Déblayage"</t>
        </r>
      </text>
    </comment>
    <comment ref="F167" authorId="0">
      <text>
        <r>
          <rPr>
            <b/>
            <sz val="8"/>
            <rFont val="Tahoma"/>
            <family val="0"/>
          </rPr>
          <t>NON-PROPORTIONNEL AU NOMBRE D'HOMMES DANS LE CHANTIER</t>
        </r>
        <r>
          <rPr>
            <sz val="8"/>
            <rFont val="Tahoma"/>
            <family val="0"/>
          </rPr>
          <t xml:space="preserve">
</t>
        </r>
      </text>
    </comment>
    <comment ref="F206" authorId="0">
      <text>
        <r>
          <rPr>
            <b/>
            <sz val="8"/>
            <rFont val="Tahoma"/>
            <family val="0"/>
          </rPr>
          <t>NON-PROPORTIONNEL AU NOMBRE D'HOMMES DANS LE CHANTIER</t>
        </r>
        <r>
          <rPr>
            <sz val="8"/>
            <rFont val="Tahoma"/>
            <family val="0"/>
          </rPr>
          <t xml:space="preserve">
</t>
        </r>
      </text>
    </comment>
    <comment ref="I206" authorId="0">
      <text>
        <r>
          <rPr>
            <b/>
            <sz val="8"/>
            <rFont val="Tahoma"/>
            <family val="0"/>
          </rPr>
          <t>NON-PROPORTIONNEL AU NOMBRE D'HOMMES DANS LE CHANTIER</t>
        </r>
        <r>
          <rPr>
            <sz val="8"/>
            <rFont val="Tahoma"/>
            <family val="0"/>
          </rPr>
          <t xml:space="preserve">
</t>
        </r>
      </text>
    </comment>
    <comment ref="B117" authorId="0">
      <text>
        <r>
          <rPr>
            <sz val="11"/>
            <rFont val="Tahoma"/>
            <family val="2"/>
          </rPr>
          <t>Si la teneur ne justifie pas le temps requis pour le nettoyage final, inscrire "0" dans la case m</t>
        </r>
        <r>
          <rPr>
            <vertAlign val="superscript"/>
            <sz val="11"/>
            <rFont val="Tahoma"/>
            <family val="2"/>
          </rPr>
          <t xml:space="preserve"> 2</t>
        </r>
        <r>
          <rPr>
            <sz val="11"/>
            <rFont val="Tahoma"/>
            <family val="2"/>
          </rPr>
          <t xml:space="preserve">/heure
</t>
        </r>
      </text>
    </comment>
    <comment ref="E117" authorId="0">
      <text>
        <r>
          <rPr>
            <sz val="11"/>
            <rFont val="Tahoma"/>
            <family val="2"/>
          </rPr>
          <t>Si la teneur ne justifie pas le temps requis pour le nettoyage final, inscrire "0" dans la case "m</t>
        </r>
        <r>
          <rPr>
            <vertAlign val="superscript"/>
            <sz val="11"/>
            <rFont val="Tahoma"/>
            <family val="2"/>
          </rPr>
          <t xml:space="preserve"> 2</t>
        </r>
        <r>
          <rPr>
            <sz val="11"/>
            <rFont val="Tahoma"/>
            <family val="2"/>
          </rPr>
          <t xml:space="preserve">/heure"
</t>
        </r>
      </text>
    </comment>
  </commentList>
</comments>
</file>

<file path=xl/comments3.xml><?xml version="1.0" encoding="utf-8"?>
<comments xmlns="http://schemas.openxmlformats.org/spreadsheetml/2006/main">
  <authors>
    <author>rolacroi</author>
    <author>Canmet-MMSL</author>
  </authors>
  <commentList>
    <comment ref="A6" authorId="0">
      <text>
        <r>
          <rPr>
            <b/>
            <sz val="11"/>
            <rFont val="Tahoma"/>
            <family val="2"/>
          </rPr>
          <t>Méthodologie 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1- </t>
        </r>
        <r>
          <rPr>
            <sz val="11"/>
            <rFont val="Tahoma"/>
            <family val="2"/>
          </rPr>
          <t xml:space="preserve">Inscrire la distance et disponibilité par équipement. 
     (Vous pouvez optimiser la distance par équipement) 
</t>
        </r>
        <r>
          <rPr>
            <b/>
            <sz val="11"/>
            <rFont val="Tahoma"/>
            <family val="2"/>
          </rPr>
          <t>2-</t>
        </r>
        <r>
          <rPr>
            <sz val="11"/>
            <rFont val="Tahoma"/>
            <family val="2"/>
          </rPr>
          <t xml:space="preserve"> Inscrire la densité du minerai cassé.
</t>
        </r>
        <r>
          <rPr>
            <b/>
            <sz val="11"/>
            <rFont val="Tahoma"/>
            <family val="2"/>
          </rPr>
          <t>3-</t>
        </r>
        <r>
          <rPr>
            <sz val="11"/>
            <rFont val="Tahoma"/>
            <family val="2"/>
          </rPr>
          <t xml:space="preserve"> Inscrire la performance choisie à utiliser dans le modèle.</t>
        </r>
      </text>
    </comment>
    <comment ref="H5" authorId="0">
      <text>
        <r>
          <rPr>
            <sz val="8"/>
            <rFont val="Tahoma"/>
            <family val="0"/>
          </rPr>
          <t xml:space="preserve">Inscrire la </t>
        </r>
        <r>
          <rPr>
            <b/>
            <u val="single"/>
            <sz val="8"/>
            <rFont val="Tahoma"/>
            <family val="2"/>
          </rPr>
          <t>distance moyenne de déblayage</t>
        </r>
        <r>
          <rPr>
            <sz val="8"/>
            <rFont val="Tahoma"/>
            <family val="0"/>
          </rPr>
          <t xml:space="preserve"> selon votre configuration de chantier
</t>
        </r>
      </text>
    </comment>
    <comment ref="K5" authorId="0">
      <text>
        <r>
          <rPr>
            <b/>
            <u val="single"/>
            <sz val="8"/>
            <rFont val="Tahoma"/>
            <family val="2"/>
          </rPr>
          <t xml:space="preserve">Disponibilité </t>
        </r>
        <r>
          <rPr>
            <sz val="8"/>
            <rFont val="Tahoma"/>
            <family val="0"/>
          </rPr>
          <t xml:space="preserve">observée à votre site ou selon vos références
</t>
        </r>
      </text>
    </comment>
    <comment ref="C73" authorId="1">
      <text>
        <r>
          <rPr>
            <b/>
            <sz val="8"/>
            <rFont val="Tahoma"/>
            <family val="0"/>
          </rPr>
          <t>Modifier la formule selon celle affichée dans le graphique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rolacroi</author>
  </authors>
  <commentList>
    <comment ref="A9" authorId="0">
      <text>
        <r>
          <rPr>
            <sz val="9"/>
            <rFont val="Tahoma"/>
            <family val="2"/>
          </rPr>
          <t>Enlever les tuyaux, boyaux, câbles électriques, conduits de ventilation</t>
        </r>
      </text>
    </comment>
    <comment ref="A42" authorId="0">
      <text>
        <r>
          <rPr>
            <sz val="10"/>
            <rFont val="Tahoma"/>
            <family val="2"/>
          </rPr>
          <t>Temps total entre l'appel et le début de la coulée de remblai</t>
        </r>
      </text>
    </comment>
    <comment ref="A56" authorId="0">
      <text>
        <r>
          <rPr>
            <sz val="10"/>
            <rFont val="Tahoma"/>
            <family val="2"/>
          </rPr>
          <t>Temps total entre l'appel et le début de la coulée de remblai</t>
        </r>
      </text>
    </comment>
  </commentList>
</comments>
</file>

<file path=xl/sharedStrings.xml><?xml version="1.0" encoding="utf-8"?>
<sst xmlns="http://schemas.openxmlformats.org/spreadsheetml/2006/main" count="691" uniqueCount="342">
  <si>
    <t>Activités</t>
  </si>
  <si>
    <t># hommes</t>
  </si>
  <si>
    <t>longueur (m)</t>
  </si>
  <si>
    <t>nbre de pièces</t>
  </si>
  <si>
    <t>total :</t>
  </si>
  <si>
    <t>volume requis (m³)</t>
  </si>
  <si>
    <t>m³/q</t>
  </si>
  <si>
    <t>REMBLAYAGE PAR QUART</t>
  </si>
  <si>
    <t>PRÉPARATION AU REMBLAI</t>
  </si>
  <si>
    <t>REMBLAI</t>
  </si>
  <si>
    <t>Lunch</t>
  </si>
  <si>
    <t>FORAGE</t>
  </si>
  <si>
    <t>DÉBLAYAGE</t>
  </si>
  <si>
    <t>tonnes</t>
  </si>
  <si>
    <t>CAVO 310</t>
  </si>
  <si>
    <t>distance (m)</t>
  </si>
  <si>
    <t>CHARGEUSE      EJC 60E</t>
  </si>
  <si>
    <t>Sautage</t>
  </si>
  <si>
    <t>m³</t>
  </si>
  <si>
    <t>mètres</t>
  </si>
  <si>
    <t>heures</t>
  </si>
  <si>
    <t>heures/quart</t>
  </si>
  <si>
    <t>SAUTAGE</t>
  </si>
  <si>
    <t>SUPPORT</t>
  </si>
  <si>
    <t>ÉCAILLAGE</t>
  </si>
  <si>
    <t>VENTILATION</t>
  </si>
  <si>
    <t>AUTRES</t>
  </si>
  <si>
    <t>avec barricade</t>
  </si>
  <si>
    <t>sans barricade</t>
  </si>
  <si>
    <t>NOTES</t>
  </si>
  <si>
    <t>RELIÉES AU FORAGE</t>
  </si>
  <si>
    <t>RELIÉES AU SUPPORT</t>
  </si>
  <si>
    <t>DE TERRAIN</t>
  </si>
  <si>
    <t>Paramètres de la</t>
  </si>
  <si>
    <t>densité du minerai (t/m³)</t>
  </si>
  <si>
    <t>PARAMÈTRES DU FORAGE</t>
  </si>
  <si>
    <t>tonnes par trou</t>
  </si>
  <si>
    <t>minutes requises</t>
  </si>
  <si>
    <t xml:space="preserve">Ventilation </t>
  </si>
  <si>
    <t>voir support</t>
  </si>
  <si>
    <t>heures-hommes</t>
  </si>
  <si>
    <t xml:space="preserve"> +</t>
  </si>
  <si>
    <t xml:space="preserve">avec des imprévus de </t>
  </si>
  <si>
    <t xml:space="preserve"> =</t>
  </si>
  <si>
    <t>+</t>
  </si>
  <si>
    <t>=</t>
  </si>
  <si>
    <t>DANS LE CHANTIER</t>
  </si>
  <si>
    <t>HORS CHANTIER</t>
  </si>
  <si>
    <t>TOTAL</t>
  </si>
  <si>
    <t>PRODUCTIF</t>
  </si>
  <si>
    <t>IMPRÉVUS</t>
  </si>
  <si>
    <t xml:space="preserve">FIXES </t>
  </si>
  <si>
    <t>PRODUCTIVITÉ</t>
  </si>
  <si>
    <t>µ =t/m³</t>
  </si>
  <si>
    <t xml:space="preserve"> pour le total de la coupe</t>
  </si>
  <si>
    <t>heures (remblai)</t>
  </si>
  <si>
    <t>RELIÉES AU REMBLAI, BURES</t>
  </si>
  <si>
    <t>coupe</t>
  </si>
  <si>
    <t>Paramètres du</t>
  </si>
  <si>
    <t>Nbre d'avances</t>
  </si>
  <si>
    <t>4.2 - Écaillage</t>
  </si>
  <si>
    <t>heures totales (coupe)</t>
  </si>
  <si>
    <t>4.3 - Support de terrain</t>
  </si>
  <si>
    <t>PARAMÈTRES DE SAUTAGE</t>
  </si>
  <si>
    <t>minutes</t>
  </si>
  <si>
    <t xml:space="preserve"> &lt;=&gt;</t>
  </si>
  <si>
    <t>-</t>
  </si>
  <si>
    <t xml:space="preserve"> /</t>
  </si>
  <si>
    <t>total</t>
  </si>
  <si>
    <t xml:space="preserve">avec une performance de </t>
  </si>
  <si>
    <t xml:space="preserve"> x</t>
  </si>
  <si>
    <t>avec une performance de</t>
  </si>
  <si>
    <t>TOTAL COUPE</t>
  </si>
  <si>
    <t>treuil</t>
  </si>
  <si>
    <t>PAR QUART</t>
  </si>
  <si>
    <t>REMBLAYAGE</t>
  </si>
  <si>
    <t>Cage (début et fin de quart)</t>
  </si>
  <si>
    <t>Aller-retour au chantier</t>
  </si>
  <si>
    <t>Supervision</t>
  </si>
  <si>
    <t>Planification du travail</t>
  </si>
  <si>
    <t>1.0 - ACTIVITÉS DIRECTES FIXES PAR QUART (hors chantier)</t>
  </si>
  <si>
    <t>Raccorder le sautage</t>
  </si>
  <si>
    <t>Vérification des accès</t>
  </si>
  <si>
    <t>heures/sautage</t>
  </si>
  <si>
    <t>heures/installation</t>
  </si>
  <si>
    <t>Temps total (min)</t>
  </si>
  <si>
    <t>Système de drainage *</t>
  </si>
  <si>
    <t>Bures *</t>
  </si>
  <si>
    <t>quarts-hommes</t>
  </si>
  <si>
    <t>q-h d'imprévus</t>
  </si>
  <si>
    <t>quarts-hommes requis dans le chantier</t>
  </si>
  <si>
    <t>Ranger le matériel</t>
  </si>
  <si>
    <t>ET PASSAGES D'HOMMES</t>
  </si>
  <si>
    <t>Passages d'hommes *</t>
  </si>
  <si>
    <t>t/heure</t>
  </si>
  <si>
    <t>heures  totales</t>
  </si>
  <si>
    <t>QUARTS-HOMMES</t>
  </si>
  <si>
    <t>Q-H requis avec imprévus</t>
  </si>
  <si>
    <t>Quarts-hommes requis</t>
  </si>
  <si>
    <t>Imprévus</t>
  </si>
  <si>
    <t>heures totales</t>
  </si>
  <si>
    <t>QUARTS-HOMMES REQUIS</t>
  </si>
  <si>
    <t>tonnes/quart-homme</t>
  </si>
  <si>
    <t>Durée (heures)</t>
  </si>
  <si>
    <t>Enlever les services</t>
  </si>
  <si>
    <t>productivité (#/heure)</t>
  </si>
  <si>
    <t>productivité (m/heure)</t>
  </si>
  <si>
    <t>Laver la ligne</t>
  </si>
  <si>
    <t>AVEC BARRICADE</t>
  </si>
  <si>
    <t>SANS BARRICADE</t>
  </si>
  <si>
    <t>distance (pi)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</si>
  <si>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/heure</t>
    </r>
  </si>
  <si>
    <t>Installer conduites à remblai (chantier)</t>
  </si>
  <si>
    <t>Explosifs requis (kg)</t>
  </si>
  <si>
    <t>tonnes/h</t>
  </si>
  <si>
    <t>t/h</t>
  </si>
  <si>
    <t>m³/h</t>
  </si>
  <si>
    <t>Temps direct fixe hors chantier par quart</t>
  </si>
  <si>
    <t>Temps fixe hors chantier</t>
  </si>
  <si>
    <t>Nombre de quarts requis</t>
  </si>
  <si>
    <t xml:space="preserve">Écaillage extra </t>
  </si>
  <si>
    <t>Déplacements (puits - refuge - puits)</t>
  </si>
  <si>
    <t>Autres délais de déplacements</t>
  </si>
  <si>
    <t>Remplir les rapports journaliers</t>
  </si>
  <si>
    <t>Apporter les explosifs</t>
  </si>
  <si>
    <t>Apporter et préparer le matériel</t>
  </si>
  <si>
    <t xml:space="preserve">Enlever la plate-forme </t>
  </si>
  <si>
    <t>Temps                          (min)/unité</t>
  </si>
  <si>
    <t>Apporter le matériel</t>
  </si>
  <si>
    <t>Installer la plate-forme</t>
  </si>
  <si>
    <t>minutes/installation</t>
  </si>
  <si>
    <t>Temps                 (min)/unité</t>
  </si>
  <si>
    <t>Réparer et installer ventilation</t>
  </si>
  <si>
    <t>minutes/sautage</t>
  </si>
  <si>
    <t>Temps                     (min)/unité</t>
  </si>
  <si>
    <t>Temps             (min)/unité</t>
  </si>
  <si>
    <t>3.0 - ACTIVITÉS DIRECTES FIXES PAR COUPE (dans le chantier)</t>
  </si>
  <si>
    <t>Déplacer les équipements</t>
  </si>
  <si>
    <t>Géologues</t>
  </si>
  <si>
    <t>Arpenteurs</t>
  </si>
  <si>
    <t>Mécaniciens et électriciens</t>
  </si>
  <si>
    <t>Réparer l'accès principal</t>
  </si>
  <si>
    <t>Barricades hors chantier</t>
  </si>
  <si>
    <t>dans les chantiers de Coupe et Remblai :</t>
  </si>
  <si>
    <t>COUPE ET REMBLAI</t>
  </si>
  <si>
    <t>minutes/</t>
  </si>
  <si>
    <t>m longitudinal</t>
  </si>
  <si>
    <t>heures totales  (coupe)</t>
  </si>
  <si>
    <t>temps d'installation         /boulon (min)</t>
  </si>
  <si>
    <t>PARAMÈTRES DU SUPPORT DE TERRAIN</t>
  </si>
  <si>
    <t>Patron du toit</t>
  </si>
  <si>
    <t>Patron de l'éponte supérieure</t>
  </si>
  <si>
    <t>Patron de l'éponte inférieure</t>
  </si>
  <si>
    <t>Mètres forés      /mètre d'avance</t>
  </si>
  <si>
    <t>Longueur forée/volée</t>
  </si>
  <si>
    <t>Longueur cassée/volée</t>
  </si>
  <si>
    <t>Laver, écailler et nettoyer le fond des trous</t>
  </si>
  <si>
    <t xml:space="preserve">Forage pour le support  </t>
  </si>
  <si>
    <t>Installation du support</t>
  </si>
  <si>
    <t>Volées</t>
  </si>
  <si>
    <t>Coupe</t>
  </si>
  <si>
    <t>Temps requis pour forer un trou de 1,2 m (min)</t>
  </si>
  <si>
    <t>tonnes/heure</t>
  </si>
  <si>
    <t>Mètres à forer</t>
  </si>
  <si>
    <t>Temps requis pour le repositionnement, changement de tiges et de trépans, etc. par trou de 2,4 m (min)</t>
  </si>
  <si>
    <t>Temps total moyen pour forer un trou de 2,4 m (min)</t>
  </si>
  <si>
    <t xml:space="preserve">Taux moyen de forage (mètres forés par </t>
  </si>
  <si>
    <t>heure /homme /foreuse)</t>
  </si>
  <si>
    <t>Longueur           forée (m)</t>
  </si>
  <si>
    <t>Largeur moy (m)</t>
  </si>
  <si>
    <t>tonnes/m foré</t>
  </si>
  <si>
    <t>Diamètre des trous (mm)</t>
  </si>
  <si>
    <t>Densité de l'explosif (g/cc)</t>
  </si>
  <si>
    <t>Nombre de sautages (coupe)</t>
  </si>
  <si>
    <t xml:space="preserve"> /sautage</t>
  </si>
  <si>
    <t>(dans le chantier)</t>
  </si>
  <si>
    <t xml:space="preserve">Nettoyer et charger les trous </t>
  </si>
  <si>
    <t>Nombre de volées/coupe</t>
  </si>
  <si>
    <t>Nombre de boulons/ 1,2 m d'avance</t>
  </si>
  <si>
    <t>Longueur</t>
  </si>
  <si>
    <t>Largeur moyenne</t>
  </si>
  <si>
    <t>Hauteur</t>
  </si>
  <si>
    <t>Tonnes</t>
  </si>
  <si>
    <t>Déblayage</t>
  </si>
  <si>
    <t>Nettoyage final avant remblai</t>
  </si>
  <si>
    <t xml:space="preserve">SEULEMENT LES ACTIVITÉS DIRECTES VARIABLES SONT INFLUENCÉES PAR LE NOMBRE D'HOMMES. </t>
  </si>
  <si>
    <t>DONC, SELON LE NOMBRE D'HOMMES ENTRÉ, ON OBTIENT :</t>
  </si>
  <si>
    <t>HEURES REQUISES - HOMMES</t>
  </si>
  <si>
    <t>NOMBRE D'HOMMES REQUIS</t>
  </si>
  <si>
    <t>NOMBRE D'HEURES PAR QUART</t>
  </si>
  <si>
    <t>quarts-hommes requis d'activités directes fixes (hors chantier)</t>
  </si>
  <si>
    <t xml:space="preserve">total des quarts-hommes requis </t>
  </si>
  <si>
    <t xml:space="preserve">COUPE ET REMBLAI </t>
  </si>
  <si>
    <t>2.0 - ACTIVITÉS DIRECTES FIXES PAR ÉTAPE (dans le chantier)</t>
  </si>
  <si>
    <t>(grillage inclus)</t>
  </si>
  <si>
    <t>Épaisseur moy. (m)</t>
  </si>
  <si>
    <t>Facteur poudre (kg/tonne)</t>
  </si>
  <si>
    <t xml:space="preserve">Les deux volées d'ouverture aux extrémités du chantier sont optionnelles. Si vous </t>
  </si>
  <si>
    <t xml:space="preserve">préférez utiliser la monterie principale comme ouverture, simplement inscrire "0" </t>
  </si>
  <si>
    <t>temps d'installation/ boulon (min)</t>
  </si>
  <si>
    <t>Nombre de trous/front de taille</t>
  </si>
  <si>
    <t>Tonnes totales en volées</t>
  </si>
  <si>
    <t>RELIÉES AU</t>
  </si>
  <si>
    <t>AUTRES ACTIVITÉS</t>
  </si>
  <si>
    <t>PAR COUPE</t>
  </si>
  <si>
    <t>front de taille</t>
  </si>
  <si>
    <t>Longueur forée</t>
  </si>
  <si>
    <t>Longueur cassée</t>
  </si>
  <si>
    <t>Largeur</t>
  </si>
  <si>
    <r>
      <t>Surface à nettoyer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</si>
  <si>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pour la coupe</t>
  </si>
  <si>
    <t>PATRON  DE FORAGE (trous horizontaux)</t>
  </si>
  <si>
    <t xml:space="preserve"> (évacuation des gaz)</t>
  </si>
  <si>
    <t>longueur (m)              /sautage</t>
  </si>
  <si>
    <t xml:space="preserve">ACTIVITÉS DIRECTES </t>
  </si>
  <si>
    <t>PAR AVANCE</t>
  </si>
  <si>
    <t>DIRECTES VARIABLES   (heures) *</t>
  </si>
  <si>
    <t>DIRECTES FIXES             (heures)</t>
  </si>
  <si>
    <t>DIRECTES VARIABLES   (heures)</t>
  </si>
  <si>
    <t>taux d'imprévus (ventilation incluse)</t>
  </si>
  <si>
    <t>temps alloué pour les imprévus</t>
  </si>
  <si>
    <t>temps total requis dans le chantier (incluant les imprévus)</t>
  </si>
  <si>
    <t xml:space="preserve">À l'aide de cette section, vous pouvez optimiser vos paramètres pour simuler votre opération ou déterminer les paramètres </t>
  </si>
  <si>
    <t>Temps disponible dans le chantier/quart</t>
  </si>
  <si>
    <t>Nombre possible d'avances par quart</t>
  </si>
  <si>
    <t>Selon votre meilleure estimation, vous pouvez faire</t>
  </si>
  <si>
    <t>ce qui représente un taux d'occupation du quart (incluant les imprévus) de</t>
  </si>
  <si>
    <t>tonnes/q-h</t>
  </si>
  <si>
    <t>4.0 - ACTIVITÉS DIRECTES VARIABLES PAR ÉTAPE (dans le chantier)</t>
  </si>
  <si>
    <t>Nettoyer le plancher</t>
  </si>
  <si>
    <t>Construire bures et passages d'hommes</t>
  </si>
  <si>
    <t>Installer le drainage</t>
  </si>
  <si>
    <t>Déplacer les équipements (avec barricade)</t>
  </si>
  <si>
    <t>Déplacer les équipements (sans barricade)</t>
  </si>
  <si>
    <t>REMBLAYAGE EN CONTINU</t>
  </si>
  <si>
    <t>Q-H</t>
  </si>
  <si>
    <t>Remblayage/quart</t>
  </si>
  <si>
    <t>Construire les barricades</t>
  </si>
  <si>
    <t>EN CONTINU</t>
  </si>
  <si>
    <t>nbre de voyages</t>
  </si>
  <si>
    <t>Remblayage</t>
  </si>
  <si>
    <t>débit solide (m³/heure)</t>
  </si>
  <si>
    <t>Raccorder à la ligne principale</t>
  </si>
  <si>
    <t>Appel pour le remblai</t>
  </si>
  <si>
    <t>Calcul des Q-H requis avec imprévus</t>
  </si>
  <si>
    <t>Heures/quart</t>
  </si>
  <si>
    <t>Nombre total de quarts requis</t>
  </si>
  <si>
    <t>Hommes</t>
  </si>
  <si>
    <t>Q-H requis</t>
  </si>
  <si>
    <t>Calcul du nombre de quarts selon l'horaire</t>
  </si>
  <si>
    <t xml:space="preserve">Nombre de quarts requis (horaire) </t>
  </si>
  <si>
    <t>Calcul du nombre de quarts d'activités directes fixes</t>
  </si>
  <si>
    <t>Heures directes fixes/quart</t>
  </si>
  <si>
    <t>Heures disponibles dans le chantier</t>
  </si>
  <si>
    <t>Longueur      cassée (m)</t>
  </si>
  <si>
    <t>TABLEAU DU NOMBRE D'HEURES REQUISES PAR COUPE</t>
  </si>
  <si>
    <t>Densité du minerai en vrac (t/m³)</t>
  </si>
  <si>
    <t>Tableau (données, résultats)</t>
  </si>
  <si>
    <t>disponibilité</t>
  </si>
  <si>
    <t>TREUIL               18.5HP @ 90psi        (Ingersoll-Rand)</t>
  </si>
  <si>
    <t>Inscrire votre distance moyenne d'opérations</t>
  </si>
  <si>
    <t>VOTRE ÉQUIPEMENT</t>
  </si>
  <si>
    <r>
      <t>Surface à nettoyer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</si>
  <si>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Nombre total de sautages (volées + coupe)</t>
  </si>
  <si>
    <t>BURES, PASSAGES D'HOMMMES, REMBLAI</t>
  </si>
  <si>
    <t>TABLEAU DU NOMBRE D'HEURES REQUISES PAR FRONT DE TAILLE</t>
  </si>
  <si>
    <t>BURES, PASSAGES D'HOMMES, REMBLAI</t>
  </si>
  <si>
    <t>PATRON DE FORAGE (trous verticaux)</t>
  </si>
  <si>
    <t xml:space="preserve"> * Le nombre d'heures requises est corrigé en fonction du nombre d'hommes entré dans la section 5.0.</t>
  </si>
  <si>
    <t>Étapes pour trous horizontaux avec barricade</t>
  </si>
  <si>
    <t>Étapes pour trous horizontaux sans barricade</t>
  </si>
  <si>
    <t>Étapes pour trous verticaux avec barricade</t>
  </si>
  <si>
    <t>Productivité du nettoyage (m²/heure)</t>
  </si>
  <si>
    <r>
      <t>Surface (plancher) à nettoyer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</si>
  <si>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* doivent inclure la manutention du matériel et la construction</t>
  </si>
  <si>
    <t>trous forés/volée</t>
  </si>
  <si>
    <t>Heures horaire</t>
  </si>
  <si>
    <t>TOTAL (CHANTIER)</t>
  </si>
  <si>
    <t>Paramètres des</t>
  </si>
  <si>
    <t>volées d'ouverture</t>
  </si>
  <si>
    <r>
      <t xml:space="preserve">Facteur poudre             par front de taille  </t>
    </r>
    <r>
      <rPr>
        <sz val="11"/>
        <rFont val="Arial"/>
        <family val="2"/>
      </rPr>
      <t xml:space="preserve">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</si>
  <si>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>Nombre d'heures par quart</t>
  </si>
  <si>
    <t>requis pour obtenir la performance désirée.</t>
  </si>
  <si>
    <t>avance/quart</t>
  </si>
  <si>
    <t>INSCRIRE VOTRE CHOIX DANS LES CALCULS DE CYCLE</t>
  </si>
  <si>
    <t>(voir la section 1.0 des onglets "Trous_vert" ou "Trous_hor")</t>
  </si>
  <si>
    <t>nombre de trous</t>
  </si>
  <si>
    <t>Temps requis de forage (heures)</t>
  </si>
  <si>
    <t>temps moyen                            /trou (min)</t>
  </si>
  <si>
    <t>temps moyen                  /trou (min)</t>
  </si>
  <si>
    <t>trous/sautage</t>
  </si>
  <si>
    <t xml:space="preserve"> trous/sautage</t>
  </si>
  <si>
    <t>nbre sautages</t>
  </si>
  <si>
    <t xml:space="preserve"> (À utiliser lorsque les sautages occasionnent un délai durant le quart ou lorsque votre opération fonctionne 24 heures sur 24)</t>
  </si>
  <si>
    <t>temps moyen/                trou (min)</t>
  </si>
  <si>
    <t>Temps direct fixe hors chantier/quart</t>
  </si>
  <si>
    <t>Kg d'explosifs/mètre</t>
  </si>
  <si>
    <t>Fréquence ou  unités</t>
  </si>
  <si>
    <t>Longueur forée par boulon</t>
  </si>
  <si>
    <t>COUPE  - TROUS HORIZONTAUX</t>
  </si>
  <si>
    <t>COUPE  - TROUS VERTICAUX</t>
  </si>
  <si>
    <t>Connexions à la ligne principale</t>
  </si>
  <si>
    <t>Apporter équipement et matériel</t>
  </si>
  <si>
    <t xml:space="preserve">Préparer matériel </t>
  </si>
  <si>
    <t>Ranger équipement et matériel</t>
  </si>
  <si>
    <t>Vérifications de l'équipement</t>
  </si>
  <si>
    <t>Ranger équipement et explosifs</t>
  </si>
  <si>
    <t>Préparer matériel</t>
  </si>
  <si>
    <t>ACTIVITÉS DIRECTES PAR COUPE</t>
  </si>
  <si>
    <t>Tonnes/avance</t>
  </si>
  <si>
    <t>Barricades dans le chantier *</t>
  </si>
  <si>
    <t>4.1 - Dimensions de la coupe</t>
  </si>
  <si>
    <t>4.4 - Déblayage</t>
  </si>
  <si>
    <t>4.5 - Forage</t>
  </si>
  <si>
    <t>4.6 - Chargement et Sautage</t>
  </si>
  <si>
    <t>4.8 - Remblai</t>
  </si>
  <si>
    <t>5.0 - RÉSUMÉ POUR LA COUPE</t>
  </si>
  <si>
    <t>5.0 - RÉSUMÉ PAR FRONT DE TAILLE</t>
  </si>
  <si>
    <t>6.0 - RÉSUMÉ POUR LA COUPE</t>
  </si>
  <si>
    <t xml:space="preserve"> Nbre de rangées</t>
  </si>
  <si>
    <t xml:space="preserve">   Nbre de trous/rangée</t>
  </si>
  <si>
    <t>Voici les étapes que l'on retrouve le plus souvent</t>
  </si>
  <si>
    <t>Nettoyer la ligne avant le remblayage</t>
  </si>
  <si>
    <t>Nettoyer la ligne après le remblayage</t>
  </si>
  <si>
    <t>PARAMÈTRES DU NETTOYAGE FINAL DU PLANCHER</t>
  </si>
  <si>
    <t>Tonnage récupéré</t>
  </si>
  <si>
    <t>5.1 - CALCUL DU NOMBRE POSSIBLE D'AVANCES PAR QUART SELON LES DONNÉES ENTRÉES :</t>
  </si>
  <si>
    <t>Heures requises - hommes</t>
  </si>
  <si>
    <t xml:space="preserve">Nbre de quarts d'activités directes fixes (horaire) </t>
  </si>
  <si>
    <t>RÉSUMÉ - QUARTS-HOMMES TOTAUX REQUIS</t>
  </si>
  <si>
    <t>Calcul du nombre total des quarts-hommes (Q-H) requis</t>
  </si>
  <si>
    <t>équipement</t>
  </si>
  <si>
    <t>temps total des activités directes fixes hors chantier</t>
  </si>
  <si>
    <t>dans la case "Nombre de volées par coupe" dans la section "Paramètres des</t>
  </si>
  <si>
    <t>volées d'ouverture".</t>
  </si>
  <si>
    <t>4.7 - Ventilation</t>
  </si>
  <si>
    <t>temps total requis par avance</t>
  </si>
  <si>
    <t>taux d'occupation du chantier par avance</t>
  </si>
  <si>
    <t>taux d'occupation du quart par avance</t>
  </si>
  <si>
    <t>Version : 13 avril 2004</t>
  </si>
  <si>
    <t>Fardeau (m)</t>
  </si>
  <si>
    <t>Version : 11 mai 2004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</si>
</sst>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_(* #,##0.0_);_(* \(#,##0.0\);_(* &quot;-&quot;??_);_(@_)"/>
    <numFmt numFmtId="184" formatCode="0.0000000000000"/>
    <numFmt numFmtId="185" formatCode="0.000000000000"/>
    <numFmt numFmtId="186" formatCode="0.000000000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vertAlign val="superscript"/>
      <sz val="11"/>
      <name val="Tahoma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u val="single"/>
      <sz val="8"/>
      <name val="Tahoma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name val="Tahoma"/>
      <family val="2"/>
    </font>
    <font>
      <vertAlign val="superscript"/>
      <sz val="10.25"/>
      <name val="Arial"/>
      <family val="0"/>
    </font>
    <font>
      <vertAlign val="superscript"/>
      <sz val="10.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Border="1" applyAlignment="1">
      <alignment horizontal="left" indent="2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2" borderId="22" xfId="0" applyFill="1" applyBorder="1" applyAlignment="1">
      <alignment horizontal="center"/>
    </xf>
    <xf numFmtId="2" fontId="0" fillId="0" borderId="0" xfId="0" applyNumberFormat="1" applyAlignment="1">
      <alignment/>
    </xf>
    <xf numFmtId="173" fontId="0" fillId="2" borderId="1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173" fontId="0" fillId="2" borderId="1" xfId="0" applyNumberFormat="1" applyFill="1" applyBorder="1" applyAlignment="1">
      <alignment/>
    </xf>
    <xf numFmtId="0" fontId="11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2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2" borderId="22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73" fontId="7" fillId="2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3" fillId="2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2" borderId="2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0" fontId="17" fillId="0" borderId="0" xfId="0" applyFont="1" applyBorder="1" applyAlignment="1">
      <alignment horizontal="left" inden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6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173" fontId="13" fillId="2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19" fillId="0" borderId="0" xfId="0" applyFont="1" applyAlignment="1">
      <alignment horizontal="left" indent="1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 indent="2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/>
    </xf>
    <xf numFmtId="0" fontId="0" fillId="4" borderId="0" xfId="0" applyFill="1" applyAlignment="1">
      <alignment/>
    </xf>
    <xf numFmtId="0" fontId="0" fillId="0" borderId="29" xfId="0" applyBorder="1" applyAlignment="1">
      <alignment horizontal="center"/>
    </xf>
    <xf numFmtId="173" fontId="0" fillId="2" borderId="30" xfId="0" applyNumberForma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2" borderId="34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2" fontId="13" fillId="2" borderId="15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0" borderId="0" xfId="0" applyBorder="1" applyAlignment="1">
      <alignment horizontal="left" indent="4"/>
    </xf>
    <xf numFmtId="0" fontId="2" fillId="0" borderId="0" xfId="0" applyFont="1" applyBorder="1" applyAlignment="1">
      <alignment horizontal="left" indent="1"/>
    </xf>
    <xf numFmtId="0" fontId="20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6" borderId="31" xfId="0" applyFill="1" applyBorder="1" applyAlignment="1">
      <alignment/>
    </xf>
    <xf numFmtId="1" fontId="2" fillId="2" borderId="27" xfId="0" applyNumberFormat="1" applyFont="1" applyFill="1" applyBorder="1" applyAlignment="1">
      <alignment horizontal="center"/>
    </xf>
    <xf numFmtId="173" fontId="7" fillId="2" borderId="35" xfId="0" applyNumberFormat="1" applyFont="1" applyFill="1" applyBorder="1" applyAlignment="1">
      <alignment horizontal="center"/>
    </xf>
    <xf numFmtId="173" fontId="7" fillId="2" borderId="36" xfId="0" applyNumberFormat="1" applyFont="1" applyFill="1" applyBorder="1" applyAlignment="1">
      <alignment horizontal="center"/>
    </xf>
    <xf numFmtId="173" fontId="7" fillId="2" borderId="37" xfId="0" applyNumberFormat="1" applyFont="1" applyFill="1" applyBorder="1" applyAlignment="1">
      <alignment horizontal="center"/>
    </xf>
    <xf numFmtId="173" fontId="7" fillId="2" borderId="38" xfId="0" applyNumberFormat="1" applyFont="1" applyFill="1" applyBorder="1" applyAlignment="1">
      <alignment horizontal="center"/>
    </xf>
    <xf numFmtId="9" fontId="0" fillId="0" borderId="9" xfId="19" applyBorder="1" applyAlignment="1">
      <alignment horizontal="center"/>
    </xf>
    <xf numFmtId="9" fontId="0" fillId="0" borderId="2" xfId="0" applyNumberFormat="1" applyBorder="1" applyAlignment="1">
      <alignment horizontal="center"/>
    </xf>
    <xf numFmtId="173" fontId="0" fillId="0" borderId="16" xfId="0" applyNumberFormat="1" applyFill="1" applyBorder="1" applyAlignment="1">
      <alignment horizontal="center"/>
    </xf>
    <xf numFmtId="173" fontId="0" fillId="0" borderId="21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73" fontId="13" fillId="2" borderId="1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left"/>
    </xf>
    <xf numFmtId="9" fontId="0" fillId="0" borderId="28" xfId="19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3" fillId="0" borderId="41" xfId="0" applyFont="1" applyBorder="1" applyAlignment="1">
      <alignment horizontal="left" indent="4"/>
    </xf>
    <xf numFmtId="0" fontId="13" fillId="0" borderId="41" xfId="0" applyFont="1" applyBorder="1" applyAlignment="1">
      <alignment/>
    </xf>
    <xf numFmtId="0" fontId="0" fillId="0" borderId="41" xfId="0" applyBorder="1" applyAlignment="1">
      <alignment/>
    </xf>
    <xf numFmtId="1" fontId="13" fillId="2" borderId="1" xfId="0" applyNumberFormat="1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3" fillId="0" borderId="0" xfId="0" applyFont="1" applyAlignment="1">
      <alignment horizontal="right"/>
    </xf>
    <xf numFmtId="2" fontId="13" fillId="2" borderId="0" xfId="0" applyNumberFormat="1" applyFont="1" applyFill="1" applyAlignment="1">
      <alignment/>
    </xf>
    <xf numFmtId="0" fontId="0" fillId="0" borderId="43" xfId="0" applyBorder="1" applyAlignment="1">
      <alignment/>
    </xf>
    <xf numFmtId="0" fontId="0" fillId="2" borderId="30" xfId="0" applyFill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2" fontId="0" fillId="2" borderId="44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3" fillId="2" borderId="38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3" fontId="6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3" fillId="0" borderId="28" xfId="0" applyFont="1" applyBorder="1" applyAlignment="1">
      <alignment/>
    </xf>
    <xf numFmtId="0" fontId="0" fillId="0" borderId="28" xfId="0" applyBorder="1" applyAlignment="1">
      <alignment horizontal="left" indent="2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5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indent="2"/>
    </xf>
    <xf numFmtId="172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9" fontId="1" fillId="0" borderId="1" xfId="19" applyFont="1" applyFill="1" applyBorder="1" applyAlignment="1">
      <alignment horizontal="center"/>
    </xf>
    <xf numFmtId="173" fontId="2" fillId="2" borderId="35" xfId="0" applyNumberFormat="1" applyFont="1" applyFill="1" applyBorder="1" applyAlignment="1">
      <alignment horizontal="center"/>
    </xf>
    <xf numFmtId="173" fontId="2" fillId="2" borderId="25" xfId="0" applyNumberFormat="1" applyFont="1" applyFill="1" applyBorder="1" applyAlignment="1">
      <alignment horizontal="center"/>
    </xf>
    <xf numFmtId="173" fontId="2" fillId="2" borderId="36" xfId="0" applyNumberFormat="1" applyFont="1" applyFill="1" applyBorder="1" applyAlignment="1">
      <alignment horizontal="center"/>
    </xf>
    <xf numFmtId="173" fontId="2" fillId="2" borderId="37" xfId="0" applyNumberFormat="1" applyFont="1" applyFill="1" applyBorder="1" applyAlignment="1">
      <alignment horizontal="center"/>
    </xf>
    <xf numFmtId="173" fontId="2" fillId="2" borderId="38" xfId="0" applyNumberFormat="1" applyFont="1" applyFill="1" applyBorder="1" applyAlignment="1">
      <alignment horizontal="center"/>
    </xf>
    <xf numFmtId="9" fontId="0" fillId="0" borderId="2" xfId="19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horizontal="right"/>
    </xf>
    <xf numFmtId="183" fontId="0" fillId="2" borderId="1" xfId="15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173" fontId="7" fillId="7" borderId="1" xfId="0" applyNumberFormat="1" applyFont="1" applyFill="1" applyBorder="1" applyAlignment="1">
      <alignment/>
    </xf>
    <xf numFmtId="2" fontId="7" fillId="7" borderId="1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0" fillId="8" borderId="11" xfId="0" applyNumberForma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7" fillId="0" borderId="45" xfId="0" applyFont="1" applyBorder="1" applyAlignment="1">
      <alignment/>
    </xf>
    <xf numFmtId="0" fontId="0" fillId="0" borderId="46" xfId="0" applyBorder="1" applyAlignment="1">
      <alignment/>
    </xf>
    <xf numFmtId="0" fontId="7" fillId="0" borderId="46" xfId="0" applyFont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3" borderId="4" xfId="0" applyFill="1" applyBorder="1" applyAlignment="1">
      <alignment horizontal="center"/>
    </xf>
    <xf numFmtId="173" fontId="0" fillId="2" borderId="47" xfId="0" applyNumberFormat="1" applyFill="1" applyBorder="1" applyAlignment="1">
      <alignment horizontal="center"/>
    </xf>
    <xf numFmtId="173" fontId="0" fillId="2" borderId="34" xfId="0" applyNumberForma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6" fillId="0" borderId="42" xfId="0" applyFont="1" applyBorder="1" applyAlignment="1">
      <alignment/>
    </xf>
    <xf numFmtId="0" fontId="23" fillId="0" borderId="42" xfId="0" applyFont="1" applyBorder="1" applyAlignment="1">
      <alignment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173" fontId="0" fillId="8" borderId="17" xfId="0" applyNumberForma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/>
      <protection locked="0"/>
    </xf>
    <xf numFmtId="2" fontId="0" fillId="8" borderId="1" xfId="0" applyNumberFormat="1" applyFont="1" applyFill="1" applyBorder="1" applyAlignment="1" applyProtection="1">
      <alignment horizontal="center"/>
      <protection locked="0"/>
    </xf>
    <xf numFmtId="1" fontId="0" fillId="8" borderId="17" xfId="0" applyNumberFormat="1" applyFill="1" applyBorder="1" applyAlignment="1" applyProtection="1">
      <alignment horizontal="center"/>
      <protection locked="0"/>
    </xf>
    <xf numFmtId="173" fontId="0" fillId="8" borderId="2" xfId="0" applyNumberFormat="1" applyFill="1" applyBorder="1" applyAlignment="1" applyProtection="1">
      <alignment horizontal="center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" xfId="0" applyFont="1" applyFill="1" applyBorder="1" applyAlignment="1" applyProtection="1">
      <alignment/>
      <protection locked="0"/>
    </xf>
    <xf numFmtId="0" fontId="7" fillId="8" borderId="1" xfId="0" applyFont="1" applyFill="1" applyBorder="1" applyAlignment="1" applyProtection="1">
      <alignment/>
      <protection locked="0"/>
    </xf>
    <xf numFmtId="0" fontId="2" fillId="8" borderId="17" xfId="0" applyFont="1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2" fontId="0" fillId="8" borderId="1" xfId="0" applyNumberFormat="1" applyFill="1" applyBorder="1" applyAlignment="1" applyProtection="1">
      <alignment/>
      <protection locked="0"/>
    </xf>
    <xf numFmtId="0" fontId="0" fillId="8" borderId="1" xfId="0" applyFill="1" applyBorder="1" applyAlignment="1" applyProtection="1">
      <alignment/>
      <protection locked="0"/>
    </xf>
    <xf numFmtId="0" fontId="13" fillId="8" borderId="0" xfId="0" applyFont="1" applyFill="1" applyAlignment="1" applyProtection="1">
      <alignment horizontal="left" indent="2"/>
      <protection locked="0"/>
    </xf>
    <xf numFmtId="0" fontId="13" fillId="8" borderId="9" xfId="0" applyFont="1" applyFill="1" applyBorder="1" applyAlignment="1" applyProtection="1">
      <alignment/>
      <protection locked="0"/>
    </xf>
    <xf numFmtId="0" fontId="13" fillId="8" borderId="15" xfId="0" applyFont="1" applyFill="1" applyBorder="1" applyAlignment="1" applyProtection="1">
      <alignment/>
      <protection locked="0"/>
    </xf>
    <xf numFmtId="0" fontId="13" fillId="8" borderId="5" xfId="0" applyFont="1" applyFill="1" applyBorder="1" applyAlignment="1" applyProtection="1">
      <alignment/>
      <protection locked="0"/>
    </xf>
    <xf numFmtId="0" fontId="13" fillId="8" borderId="0" xfId="0" applyFont="1" applyFill="1" applyBorder="1" applyAlignment="1" applyProtection="1">
      <alignment horizontal="left" indent="2"/>
      <protection locked="0"/>
    </xf>
    <xf numFmtId="0" fontId="13" fillId="8" borderId="0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2" fontId="0" fillId="8" borderId="22" xfId="0" applyNumberFormat="1" applyFill="1" applyBorder="1" applyAlignment="1" applyProtection="1">
      <alignment horizontal="center"/>
      <protection locked="0"/>
    </xf>
    <xf numFmtId="173" fontId="0" fillId="8" borderId="22" xfId="0" applyNumberFormat="1" applyFill="1" applyBorder="1" applyAlignment="1" applyProtection="1">
      <alignment horizontal="center"/>
      <protection locked="0"/>
    </xf>
    <xf numFmtId="1" fontId="6" fillId="8" borderId="30" xfId="0" applyNumberFormat="1" applyFont="1" applyFill="1" applyBorder="1" applyAlignment="1" applyProtection="1">
      <alignment horizontal="center"/>
      <protection locked="0"/>
    </xf>
    <xf numFmtId="2" fontId="13" fillId="8" borderId="1" xfId="0" applyNumberFormat="1" applyFont="1" applyFill="1" applyBorder="1" applyAlignment="1" applyProtection="1">
      <alignment horizontal="center"/>
      <protection locked="0"/>
    </xf>
    <xf numFmtId="2" fontId="1" fillId="8" borderId="48" xfId="0" applyNumberFormat="1" applyFont="1" applyFill="1" applyBorder="1" applyAlignment="1" applyProtection="1">
      <alignment horizontal="center"/>
      <protection locked="0"/>
    </xf>
    <xf numFmtId="0" fontId="13" fillId="8" borderId="0" xfId="0" applyFont="1" applyFill="1" applyAlignment="1">
      <alignment horizontal="left" indent="2"/>
    </xf>
    <xf numFmtId="0" fontId="0" fillId="0" borderId="0" xfId="0" applyAlignment="1">
      <alignment horizontal="left"/>
    </xf>
    <xf numFmtId="0" fontId="7" fillId="8" borderId="23" xfId="0" applyFont="1" applyFill="1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 applyProtection="1">
      <alignment horizontal="center"/>
      <protection locked="0"/>
    </xf>
    <xf numFmtId="9" fontId="2" fillId="8" borderId="1" xfId="19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2" fontId="2" fillId="8" borderId="1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8" borderId="0" xfId="0" applyFont="1" applyFill="1" applyAlignment="1" applyProtection="1">
      <alignment horizontal="left"/>
      <protection locked="0"/>
    </xf>
    <xf numFmtId="0" fontId="0" fillId="3" borderId="45" xfId="0" applyFill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8" borderId="11" xfId="0" applyFill="1" applyBorder="1" applyAlignment="1" applyProtection="1">
      <alignment horizontal="center"/>
      <protection locked="0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" borderId="31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2" fontId="0" fillId="2" borderId="1" xfId="0" applyNumberFormat="1" applyFill="1" applyBorder="1" applyAlignment="1">
      <alignment/>
    </xf>
    <xf numFmtId="0" fontId="10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173" fontId="0" fillId="8" borderId="1" xfId="0" applyNumberFormat="1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173" fontId="0" fillId="8" borderId="15" xfId="0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8" borderId="1" xfId="0" applyFont="1" applyFill="1" applyBorder="1" applyAlignment="1" applyProtection="1">
      <alignment horizontal="center"/>
      <protection locked="0"/>
    </xf>
    <xf numFmtId="172" fontId="1" fillId="8" borderId="1" xfId="19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Alignment="1">
      <alignment/>
    </xf>
    <xf numFmtId="173" fontId="3" fillId="2" borderId="27" xfId="0" applyNumberFormat="1" applyFont="1" applyFill="1" applyBorder="1" applyAlignment="1">
      <alignment/>
    </xf>
    <xf numFmtId="173" fontId="3" fillId="2" borderId="55" xfId="0" applyNumberFormat="1" applyFont="1" applyFill="1" applyBorder="1" applyAlignment="1">
      <alignment/>
    </xf>
    <xf numFmtId="172" fontId="1" fillId="2" borderId="1" xfId="19" applyNumberFormat="1" applyFon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8" borderId="1" xfId="0" applyNumberFormat="1" applyFill="1" applyBorder="1" applyAlignment="1" applyProtection="1">
      <alignment horizontal="center"/>
      <protection locked="0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172" fontId="7" fillId="8" borderId="1" xfId="0" applyNumberFormat="1" applyFont="1" applyFill="1" applyBorder="1" applyAlignment="1" applyProtection="1">
      <alignment/>
      <protection locked="0"/>
    </xf>
    <xf numFmtId="172" fontId="7" fillId="2" borderId="1" xfId="0" applyNumberFormat="1" applyFont="1" applyFill="1" applyBorder="1" applyAlignment="1">
      <alignment/>
    </xf>
    <xf numFmtId="173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73" fontId="6" fillId="2" borderId="55" xfId="0" applyNumberFormat="1" applyFont="1" applyFill="1" applyBorder="1" applyAlignment="1">
      <alignment horizontal="center"/>
    </xf>
    <xf numFmtId="173" fontId="6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179" fontId="0" fillId="0" borderId="0" xfId="0" applyNumberFormat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173" fontId="7" fillId="2" borderId="2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3" fontId="7" fillId="2" borderId="59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  <xf numFmtId="0" fontId="7" fillId="6" borderId="60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9" fontId="0" fillId="0" borderId="61" xfId="19" applyBorder="1" applyAlignment="1">
      <alignment horizontal="center"/>
    </xf>
    <xf numFmtId="9" fontId="0" fillId="0" borderId="62" xfId="19" applyBorder="1" applyAlignment="1">
      <alignment horizontal="center"/>
    </xf>
    <xf numFmtId="0" fontId="13" fillId="0" borderId="0" xfId="0" applyFont="1" applyAlignment="1">
      <alignment horizontal="left" indent="2"/>
    </xf>
    <xf numFmtId="0" fontId="13" fillId="0" borderId="8" xfId="0" applyFont="1" applyBorder="1" applyAlignment="1">
      <alignment horizontal="left" indent="2"/>
    </xf>
    <xf numFmtId="0" fontId="13" fillId="0" borderId="0" xfId="0" applyFont="1" applyFill="1" applyAlignment="1">
      <alignment horizontal="left" indent="2"/>
    </xf>
    <xf numFmtId="0" fontId="13" fillId="0" borderId="8" xfId="0" applyFont="1" applyFill="1" applyBorder="1" applyAlignment="1">
      <alignment horizontal="left" indent="2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173" fontId="0" fillId="2" borderId="1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 textRotation="90" wrapText="1"/>
    </xf>
    <xf numFmtId="0" fontId="2" fillId="3" borderId="72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5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  <xf numFmtId="0" fontId="10" fillId="3" borderId="9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173" fontId="0" fillId="8" borderId="19" xfId="0" applyNumberFormat="1" applyFont="1" applyFill="1" applyBorder="1" applyAlignment="1">
      <alignment horizontal="center"/>
    </xf>
    <xf numFmtId="173" fontId="0" fillId="8" borderId="20" xfId="0" applyNumberFormat="1" applyFont="1" applyFill="1" applyBorder="1" applyAlignment="1">
      <alignment horizontal="center"/>
    </xf>
    <xf numFmtId="173" fontId="0" fillId="8" borderId="21" xfId="0" applyNumberFormat="1" applyFont="1" applyFill="1" applyBorder="1" applyAlignment="1">
      <alignment horizontal="center"/>
    </xf>
    <xf numFmtId="0" fontId="13" fillId="3" borderId="73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2" fontId="13" fillId="2" borderId="43" xfId="0" applyNumberFormat="1" applyFont="1" applyFill="1" applyBorder="1" applyAlignment="1">
      <alignment horizontal="center"/>
    </xf>
    <xf numFmtId="2" fontId="13" fillId="2" borderId="74" xfId="0" applyNumberFormat="1" applyFont="1" applyFill="1" applyBorder="1" applyAlignment="1">
      <alignment horizontal="center"/>
    </xf>
    <xf numFmtId="0" fontId="0" fillId="3" borderId="46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8" borderId="4" xfId="0" applyNumberFormat="1" applyFont="1" applyFill="1" applyBorder="1" applyAlignment="1" applyProtection="1">
      <alignment horizontal="center" vertical="center"/>
      <protection locked="0"/>
    </xf>
    <xf numFmtId="2" fontId="2" fillId="8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3" fontId="7" fillId="2" borderId="14" xfId="0" applyNumberFormat="1" applyFont="1" applyFill="1" applyBorder="1" applyAlignment="1">
      <alignment horizontal="center" vertical="center"/>
    </xf>
    <xf numFmtId="173" fontId="7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8" borderId="0" xfId="0" applyFont="1" applyFill="1" applyAlignment="1" applyProtection="1">
      <alignment horizontal="left" indent="2"/>
      <protection locked="0"/>
    </xf>
    <xf numFmtId="0" fontId="13" fillId="8" borderId="8" xfId="0" applyFont="1" applyFill="1" applyBorder="1" applyAlignment="1" applyProtection="1">
      <alignment horizontal="left" indent="2"/>
      <protection locked="0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73" fontId="0" fillId="8" borderId="85" xfId="0" applyNumberFormat="1" applyFill="1" applyBorder="1" applyAlignment="1">
      <alignment horizontal="center"/>
    </xf>
    <xf numFmtId="173" fontId="0" fillId="8" borderId="74" xfId="0" applyNumberForma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173" fontId="2" fillId="2" borderId="59" xfId="0" applyNumberFormat="1" applyFont="1" applyFill="1" applyBorder="1" applyAlignment="1">
      <alignment horizontal="center"/>
    </xf>
    <xf numFmtId="173" fontId="2" fillId="2" borderId="25" xfId="0" applyNumberFormat="1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9" fontId="0" fillId="0" borderId="28" xfId="19" applyBorder="1" applyAlignment="1">
      <alignment horizontal="center"/>
    </xf>
    <xf numFmtId="9" fontId="0" fillId="0" borderId="3" xfId="19" applyBorder="1" applyAlignment="1">
      <alignment horizontal="center"/>
    </xf>
    <xf numFmtId="0" fontId="0" fillId="6" borderId="87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6" borderId="88" xfId="0" applyFill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79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73" fontId="6" fillId="2" borderId="5" xfId="0" applyNumberFormat="1" applyFont="1" applyFill="1" applyBorder="1" applyAlignment="1">
      <alignment horizontal="center"/>
    </xf>
    <xf numFmtId="173" fontId="6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79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173" fontId="0" fillId="2" borderId="19" xfId="0" applyNumberFormat="1" applyFill="1" applyBorder="1" applyAlignment="1">
      <alignment horizontal="center"/>
    </xf>
    <xf numFmtId="173" fontId="0" fillId="2" borderId="21" xfId="0" applyNumberFormat="1" applyFill="1" applyBorder="1" applyAlignment="1">
      <alignment horizontal="center"/>
    </xf>
    <xf numFmtId="173" fontId="7" fillId="2" borderId="83" xfId="0" applyNumberFormat="1" applyFont="1" applyFill="1" applyBorder="1" applyAlignment="1">
      <alignment horizontal="center" vertical="center"/>
    </xf>
    <xf numFmtId="173" fontId="7" fillId="2" borderId="47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2" borderId="85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85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4" borderId="2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8" borderId="43" xfId="0" applyFont="1" applyFill="1" applyBorder="1" applyAlignment="1" applyProtection="1">
      <alignment horizontal="center" vertical="center"/>
      <protection locked="0"/>
    </xf>
    <xf numFmtId="0" fontId="2" fillId="8" borderId="74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3" fontId="0" fillId="8" borderId="15" xfId="0" applyNumberFormat="1" applyFill="1" applyBorder="1" applyAlignment="1" applyProtection="1">
      <alignment horizontal="center"/>
      <protection locked="0"/>
    </xf>
    <xf numFmtId="173" fontId="0" fillId="8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8" borderId="1" xfId="0" applyFill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Déblayage!$A$62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175"/>
          <c:w val="0.928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Déblayage!$A$64:$A$71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Déblayage!$C$64:$C$71</c:f>
              <c:numCache>
                <c:ptCount val="8"/>
                <c:pt idx="0">
                  <c:v>26</c:v>
                </c:pt>
                <c:pt idx="1">
                  <c:v>23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</c:numCache>
            </c:numRef>
          </c:yVal>
          <c:smooth val="1"/>
        </c:ser>
        <c:axId val="10371294"/>
        <c:axId val="26232783"/>
      </c:scatterChart>
      <c:val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232783"/>
        <c:crosses val="autoZero"/>
        <c:crossBetween val="midCat"/>
        <c:dispUnits/>
        <c:majorUnit val="50"/>
        <c:minorUnit val="25"/>
      </c:val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PERFORMANCE DE LA CHARGEUSE EJC 60E</a:t>
            </a:r>
          </a:p>
        </c:rich>
      </c:tx>
      <c:layout>
        <c:manualLayout>
          <c:xMode val="factor"/>
          <c:yMode val="factor"/>
          <c:x val="0.03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575"/>
          <c:w val="0.916"/>
          <c:h val="0.75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Déblayage!$A$48:$A$55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Déblayage!$C$48:$C$55</c:f>
              <c:numCache>
                <c:ptCount val="8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</c:numCache>
            </c:numRef>
          </c:yVal>
          <c:smooth val="1"/>
        </c:ser>
        <c:axId val="34768456"/>
        <c:axId val="44480649"/>
      </c:scatterChart>
      <c:val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480649"/>
        <c:crosses val="autoZero"/>
        <c:crossBetween val="midCat"/>
        <c:dispUnits/>
        <c:majorUnit val="50"/>
        <c:minorUnit val="25"/>
      </c:val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PERFORMANCE DU CAVO 310</a:t>
            </a:r>
          </a:p>
        </c:rich>
      </c:tx>
      <c:layout>
        <c:manualLayout>
          <c:xMode val="factor"/>
          <c:yMode val="factor"/>
          <c:x val="0.038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7475"/>
          <c:w val="0.933"/>
          <c:h val="0.85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Déblayage!$A$33:$A$37</c:f>
              <c:numCach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Déblayage!$C$33:$C$37</c:f>
              <c:numCache>
                <c:ptCount val="5"/>
                <c:pt idx="0">
                  <c:v>24.2</c:v>
                </c:pt>
                <c:pt idx="1">
                  <c:v>20</c:v>
                </c:pt>
                <c:pt idx="2">
                  <c:v>16.3</c:v>
                </c:pt>
                <c:pt idx="3">
                  <c:v>13.3</c:v>
                </c:pt>
                <c:pt idx="4">
                  <c:v>11.2</c:v>
                </c:pt>
              </c:numCache>
            </c:numRef>
          </c:yVal>
          <c:smooth val="1"/>
        </c:ser>
        <c:axId val="64781522"/>
        <c:axId val="46162787"/>
      </c:scatterChart>
      <c:val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162787"/>
        <c:crosses val="autoZero"/>
        <c:crossBetween val="midCat"/>
        <c:dispUnits/>
        <c:majorUnit val="50"/>
        <c:minorUnit val="25"/>
      </c:val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PERFORMANCE DU TREUIL</a:t>
            </a:r>
          </a:p>
        </c:rich>
      </c:tx>
      <c:layout>
        <c:manualLayout>
          <c:xMode val="factor"/>
          <c:yMode val="factor"/>
          <c:x val="0.027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475"/>
          <c:w val="0.9255"/>
          <c:h val="0.84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Déblayage!$A$14:$A$25</c:f>
              <c:numCache>
                <c:ptCount val="12"/>
                <c:pt idx="0">
                  <c:v>12.195121951219512</c:v>
                </c:pt>
                <c:pt idx="1">
                  <c:v>18.29268292682927</c:v>
                </c:pt>
                <c:pt idx="2">
                  <c:v>24.390243902439025</c:v>
                </c:pt>
                <c:pt idx="3">
                  <c:v>30.48780487804878</c:v>
                </c:pt>
                <c:pt idx="4">
                  <c:v>36.58536585365854</c:v>
                </c:pt>
                <c:pt idx="5">
                  <c:v>42.6829268292683</c:v>
                </c:pt>
                <c:pt idx="6">
                  <c:v>48.78048780487805</c:v>
                </c:pt>
                <c:pt idx="7">
                  <c:v>54.87804878048781</c:v>
                </c:pt>
                <c:pt idx="8">
                  <c:v>60.97560975609756</c:v>
                </c:pt>
                <c:pt idx="9">
                  <c:v>67.07317073170732</c:v>
                </c:pt>
                <c:pt idx="10">
                  <c:v>73.17073170731707</c:v>
                </c:pt>
                <c:pt idx="11">
                  <c:v>91.46341463414635</c:v>
                </c:pt>
              </c:numCache>
            </c:numRef>
          </c:xVal>
          <c:yVal>
            <c:numRef>
              <c:f>Déblayage!$C$14:$C$25</c:f>
              <c:numCache>
                <c:ptCount val="12"/>
                <c:pt idx="0">
                  <c:v>32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1"/>
        </c:ser>
        <c:axId val="12811900"/>
        <c:axId val="48198237"/>
      </c:scatterChart>
      <c:val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8198237"/>
        <c:crosses val="autoZero"/>
        <c:crossBetween val="midCat"/>
        <c:dispUnits/>
        <c:majorUnit val="20"/>
        <c:minorUnit val="10"/>
      </c:val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m³/h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2811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64</xdr:row>
      <xdr:rowOff>190500</xdr:rowOff>
    </xdr:from>
    <xdr:to>
      <xdr:col>4</xdr:col>
      <xdr:colOff>152400</xdr:colOff>
      <xdr:row>72</xdr:row>
      <xdr:rowOff>152400</xdr:rowOff>
    </xdr:to>
    <xdr:sp>
      <xdr:nvSpPr>
        <xdr:cNvPr id="1" name="Polygon 12"/>
        <xdr:cNvSpPr>
          <a:spLocks/>
        </xdr:cNvSpPr>
      </xdr:nvSpPr>
      <xdr:spPr>
        <a:xfrm>
          <a:off x="914400" y="12887325"/>
          <a:ext cx="3943350" cy="1524000"/>
        </a:xfrm>
        <a:custGeom>
          <a:pathLst>
            <a:path h="142" w="363">
              <a:moveTo>
                <a:pt x="5" y="140"/>
              </a:moveTo>
              <a:cubicBezTo>
                <a:pt x="8" y="142"/>
                <a:pt x="3" y="115"/>
                <a:pt x="5" y="103"/>
              </a:cubicBezTo>
              <a:cubicBezTo>
                <a:pt x="6" y="99"/>
                <a:pt x="7" y="88"/>
                <a:pt x="7" y="88"/>
              </a:cubicBezTo>
              <a:cubicBezTo>
                <a:pt x="8" y="83"/>
                <a:pt x="0" y="73"/>
                <a:pt x="8" y="70"/>
              </a:cubicBezTo>
              <a:cubicBezTo>
                <a:pt x="16" y="67"/>
                <a:pt x="37" y="69"/>
                <a:pt x="56" y="70"/>
              </a:cubicBezTo>
              <a:cubicBezTo>
                <a:pt x="61" y="70"/>
                <a:pt x="113" y="72"/>
                <a:pt x="121" y="74"/>
              </a:cubicBezTo>
              <a:cubicBezTo>
                <a:pt x="127" y="74"/>
                <a:pt x="139" y="77"/>
                <a:pt x="139" y="77"/>
              </a:cubicBezTo>
              <a:cubicBezTo>
                <a:pt x="141" y="77"/>
                <a:pt x="143" y="77"/>
                <a:pt x="145" y="75"/>
              </a:cubicBezTo>
              <a:cubicBezTo>
                <a:pt x="149" y="70"/>
                <a:pt x="137" y="37"/>
                <a:pt x="134" y="32"/>
              </a:cubicBezTo>
              <a:cubicBezTo>
                <a:pt x="132" y="19"/>
                <a:pt x="126" y="11"/>
                <a:pt x="123" y="0"/>
              </a:cubicBezTo>
              <a:cubicBezTo>
                <a:pt x="129" y="0"/>
                <a:pt x="135" y="0"/>
                <a:pt x="141" y="2"/>
              </a:cubicBezTo>
              <a:cubicBezTo>
                <a:pt x="152" y="5"/>
                <a:pt x="157" y="72"/>
                <a:pt x="167" y="77"/>
              </a:cubicBezTo>
              <a:cubicBezTo>
                <a:pt x="174" y="74"/>
                <a:pt x="183" y="74"/>
                <a:pt x="189" y="72"/>
              </a:cubicBezTo>
              <a:cubicBezTo>
                <a:pt x="211" y="74"/>
                <a:pt x="232" y="77"/>
                <a:pt x="254" y="79"/>
              </a:cubicBezTo>
              <a:cubicBezTo>
                <a:pt x="277" y="79"/>
                <a:pt x="299" y="77"/>
                <a:pt x="321" y="77"/>
              </a:cubicBezTo>
              <a:cubicBezTo>
                <a:pt x="349" y="77"/>
                <a:pt x="343" y="68"/>
                <a:pt x="352" y="84"/>
              </a:cubicBezTo>
              <a:cubicBezTo>
                <a:pt x="357" y="109"/>
                <a:pt x="363" y="114"/>
                <a:pt x="363" y="142"/>
              </a:cubicBezTo>
              <a:lnTo>
                <a:pt x="6" y="1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64</xdr:row>
      <xdr:rowOff>47625</xdr:rowOff>
    </xdr:from>
    <xdr:to>
      <xdr:col>0</xdr:col>
      <xdr:colOff>1628775</xdr:colOff>
      <xdr:row>65</xdr:row>
      <xdr:rowOff>28575</xdr:rowOff>
    </xdr:to>
    <xdr:sp>
      <xdr:nvSpPr>
        <xdr:cNvPr id="2" name="Rectangle 13"/>
        <xdr:cNvSpPr>
          <a:spLocks/>
        </xdr:cNvSpPr>
      </xdr:nvSpPr>
      <xdr:spPr>
        <a:xfrm>
          <a:off x="1038225" y="12744450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A</a:t>
          </a:r>
        </a:p>
      </xdr:txBody>
    </xdr:sp>
    <xdr:clientData/>
  </xdr:twoCellAnchor>
  <xdr:twoCellAnchor>
    <xdr:from>
      <xdr:col>3</xdr:col>
      <xdr:colOff>76200</xdr:colOff>
      <xdr:row>63</xdr:row>
      <xdr:rowOff>142875</xdr:rowOff>
    </xdr:from>
    <xdr:to>
      <xdr:col>3</xdr:col>
      <xdr:colOff>666750</xdr:colOff>
      <xdr:row>64</xdr:row>
      <xdr:rowOff>180975</xdr:rowOff>
    </xdr:to>
    <xdr:sp>
      <xdr:nvSpPr>
        <xdr:cNvPr id="3" name="Rectangle 14"/>
        <xdr:cNvSpPr>
          <a:spLocks/>
        </xdr:cNvSpPr>
      </xdr:nvSpPr>
      <xdr:spPr>
        <a:xfrm>
          <a:off x="3943350" y="12668250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B</a:t>
          </a:r>
        </a:p>
      </xdr:txBody>
    </xdr:sp>
    <xdr:clientData/>
  </xdr:twoCellAnchor>
  <xdr:twoCellAnchor>
    <xdr:from>
      <xdr:col>1</xdr:col>
      <xdr:colOff>800100</xdr:colOff>
      <xdr:row>65</xdr:row>
      <xdr:rowOff>133350</xdr:rowOff>
    </xdr:from>
    <xdr:to>
      <xdr:col>2</xdr:col>
      <xdr:colOff>142875</xdr:colOff>
      <xdr:row>65</xdr:row>
      <xdr:rowOff>209550</xdr:rowOff>
    </xdr:to>
    <xdr:sp>
      <xdr:nvSpPr>
        <xdr:cNvPr id="4" name="Line 15"/>
        <xdr:cNvSpPr>
          <a:spLocks/>
        </xdr:cNvSpPr>
      </xdr:nvSpPr>
      <xdr:spPr>
        <a:xfrm flipH="1">
          <a:off x="2524125" y="13058775"/>
          <a:ext cx="495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65</xdr:row>
      <xdr:rowOff>28575</xdr:rowOff>
    </xdr:from>
    <xdr:to>
      <xdr:col>3</xdr:col>
      <xdr:colOff>85725</xdr:colOff>
      <xdr:row>65</xdr:row>
      <xdr:rowOff>209550</xdr:rowOff>
    </xdr:to>
    <xdr:sp>
      <xdr:nvSpPr>
        <xdr:cNvPr id="5" name="Rectangle 16"/>
        <xdr:cNvSpPr>
          <a:spLocks/>
        </xdr:cNvSpPr>
      </xdr:nvSpPr>
      <xdr:spPr>
        <a:xfrm>
          <a:off x="3028950" y="12954000"/>
          <a:ext cx="923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MONTERIE</a:t>
          </a:r>
        </a:p>
      </xdr:txBody>
    </xdr:sp>
    <xdr:clientData/>
  </xdr:twoCellAnchor>
  <xdr:twoCellAnchor>
    <xdr:from>
      <xdr:col>0</xdr:col>
      <xdr:colOff>962025</xdr:colOff>
      <xdr:row>70</xdr:row>
      <xdr:rowOff>9525</xdr:rowOff>
    </xdr:from>
    <xdr:to>
      <xdr:col>4</xdr:col>
      <xdr:colOff>76200</xdr:colOff>
      <xdr:row>70</xdr:row>
      <xdr:rowOff>19050</xdr:rowOff>
    </xdr:to>
    <xdr:sp>
      <xdr:nvSpPr>
        <xdr:cNvPr id="6" name="Line 17"/>
        <xdr:cNvSpPr>
          <a:spLocks/>
        </xdr:cNvSpPr>
      </xdr:nvSpPr>
      <xdr:spPr>
        <a:xfrm>
          <a:off x="962025" y="13916025"/>
          <a:ext cx="3819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70</xdr:row>
      <xdr:rowOff>142875</xdr:rowOff>
    </xdr:from>
    <xdr:to>
      <xdr:col>2</xdr:col>
      <xdr:colOff>685800</xdr:colOff>
      <xdr:row>71</xdr:row>
      <xdr:rowOff>142875</xdr:rowOff>
    </xdr:to>
    <xdr:sp>
      <xdr:nvSpPr>
        <xdr:cNvPr id="7" name="Rectangle 18"/>
        <xdr:cNvSpPr>
          <a:spLocks/>
        </xdr:cNvSpPr>
      </xdr:nvSpPr>
      <xdr:spPr>
        <a:xfrm>
          <a:off x="2762250" y="140493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REMBLAI</a:t>
          </a:r>
        </a:p>
      </xdr:txBody>
    </xdr:sp>
    <xdr:clientData/>
  </xdr:twoCellAnchor>
  <xdr:twoCellAnchor>
    <xdr:from>
      <xdr:col>0</xdr:col>
      <xdr:colOff>714375</xdr:colOff>
      <xdr:row>67</xdr:row>
      <xdr:rowOff>19050</xdr:rowOff>
    </xdr:from>
    <xdr:to>
      <xdr:col>0</xdr:col>
      <xdr:colOff>952500</xdr:colOff>
      <xdr:row>68</xdr:row>
      <xdr:rowOff>66675</xdr:rowOff>
    </xdr:to>
    <xdr:sp>
      <xdr:nvSpPr>
        <xdr:cNvPr id="8" name="Oval 19"/>
        <xdr:cNvSpPr>
          <a:spLocks/>
        </xdr:cNvSpPr>
      </xdr:nvSpPr>
      <xdr:spPr>
        <a:xfrm>
          <a:off x="714375" y="13354050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533400</xdr:colOff>
      <xdr:row>67</xdr:row>
      <xdr:rowOff>104775</xdr:rowOff>
    </xdr:from>
    <xdr:to>
      <xdr:col>2</xdr:col>
      <xdr:colOff>771525</xdr:colOff>
      <xdr:row>68</xdr:row>
      <xdr:rowOff>152400</xdr:rowOff>
    </xdr:to>
    <xdr:sp>
      <xdr:nvSpPr>
        <xdr:cNvPr id="9" name="Oval 20"/>
        <xdr:cNvSpPr>
          <a:spLocks/>
        </xdr:cNvSpPr>
      </xdr:nvSpPr>
      <xdr:spPr>
        <a:xfrm>
          <a:off x="3409950" y="13439775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1314450</xdr:colOff>
      <xdr:row>70</xdr:row>
      <xdr:rowOff>9525</xdr:rowOff>
    </xdr:from>
    <xdr:to>
      <xdr:col>0</xdr:col>
      <xdr:colOff>1552575</xdr:colOff>
      <xdr:row>71</xdr:row>
      <xdr:rowOff>57150</xdr:rowOff>
    </xdr:to>
    <xdr:sp>
      <xdr:nvSpPr>
        <xdr:cNvPr id="10" name="Oval 21"/>
        <xdr:cNvSpPr>
          <a:spLocks/>
        </xdr:cNvSpPr>
      </xdr:nvSpPr>
      <xdr:spPr>
        <a:xfrm>
          <a:off x="1314450" y="13916025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1390650</xdr:colOff>
      <xdr:row>67</xdr:row>
      <xdr:rowOff>66675</xdr:rowOff>
    </xdr:from>
    <xdr:to>
      <xdr:col>0</xdr:col>
      <xdr:colOff>1628775</xdr:colOff>
      <xdr:row>68</xdr:row>
      <xdr:rowOff>114300</xdr:rowOff>
    </xdr:to>
    <xdr:sp>
      <xdr:nvSpPr>
        <xdr:cNvPr id="11" name="Oval 22"/>
        <xdr:cNvSpPr>
          <a:spLocks/>
        </xdr:cNvSpPr>
      </xdr:nvSpPr>
      <xdr:spPr>
        <a:xfrm>
          <a:off x="1390650" y="13401675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962025</xdr:colOff>
      <xdr:row>67</xdr:row>
      <xdr:rowOff>57150</xdr:rowOff>
    </xdr:from>
    <xdr:to>
      <xdr:col>0</xdr:col>
      <xdr:colOff>1123950</xdr:colOff>
      <xdr:row>68</xdr:row>
      <xdr:rowOff>133350</xdr:rowOff>
    </xdr:to>
    <xdr:sp>
      <xdr:nvSpPr>
        <xdr:cNvPr id="12" name="Polygon 23"/>
        <xdr:cNvSpPr>
          <a:spLocks/>
        </xdr:cNvSpPr>
      </xdr:nvSpPr>
      <xdr:spPr>
        <a:xfrm>
          <a:off x="962025" y="13392150"/>
          <a:ext cx="161925" cy="266700"/>
        </a:xfrm>
        <a:custGeom>
          <a:pathLst>
            <a:path h="25" w="15">
              <a:moveTo>
                <a:pt x="1" y="25"/>
              </a:moveTo>
              <a:lnTo>
                <a:pt x="0" y="1"/>
              </a:lnTo>
              <a:lnTo>
                <a:pt x="13" y="0"/>
              </a:lnTo>
              <a:lnTo>
                <a:pt x="15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67</xdr:row>
      <xdr:rowOff>95250</xdr:rowOff>
    </xdr:from>
    <xdr:to>
      <xdr:col>4</xdr:col>
      <xdr:colOff>66675</xdr:colOff>
      <xdr:row>69</xdr:row>
      <xdr:rowOff>9525</xdr:rowOff>
    </xdr:to>
    <xdr:sp>
      <xdr:nvSpPr>
        <xdr:cNvPr id="13" name="Polygon 24"/>
        <xdr:cNvSpPr>
          <a:spLocks/>
        </xdr:cNvSpPr>
      </xdr:nvSpPr>
      <xdr:spPr>
        <a:xfrm>
          <a:off x="4543425" y="13430250"/>
          <a:ext cx="228600" cy="295275"/>
        </a:xfrm>
        <a:custGeom>
          <a:pathLst>
            <a:path h="27" w="21">
              <a:moveTo>
                <a:pt x="15" y="27"/>
              </a:moveTo>
              <a:lnTo>
                <a:pt x="21" y="3"/>
              </a:lnTo>
              <a:lnTo>
                <a:pt x="7" y="0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67</xdr:row>
      <xdr:rowOff>142875</xdr:rowOff>
    </xdr:from>
    <xdr:to>
      <xdr:col>4</xdr:col>
      <xdr:colOff>285750</xdr:colOff>
      <xdr:row>69</xdr:row>
      <xdr:rowOff>0</xdr:rowOff>
    </xdr:to>
    <xdr:sp>
      <xdr:nvSpPr>
        <xdr:cNvPr id="14" name="Oval 25"/>
        <xdr:cNvSpPr>
          <a:spLocks/>
        </xdr:cNvSpPr>
      </xdr:nvSpPr>
      <xdr:spPr>
        <a:xfrm>
          <a:off x="4752975" y="13477875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1114425</xdr:colOff>
      <xdr:row>67</xdr:row>
      <xdr:rowOff>57150</xdr:rowOff>
    </xdr:from>
    <xdr:to>
      <xdr:col>1</xdr:col>
      <xdr:colOff>714375</xdr:colOff>
      <xdr:row>67</xdr:row>
      <xdr:rowOff>57150</xdr:rowOff>
    </xdr:to>
    <xdr:sp>
      <xdr:nvSpPr>
        <xdr:cNvPr id="15" name="Line 26"/>
        <xdr:cNvSpPr>
          <a:spLocks/>
        </xdr:cNvSpPr>
      </xdr:nvSpPr>
      <xdr:spPr>
        <a:xfrm>
          <a:off x="1114425" y="13392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67</xdr:row>
      <xdr:rowOff>85725</xdr:rowOff>
    </xdr:from>
    <xdr:to>
      <xdr:col>3</xdr:col>
      <xdr:colOff>771525</xdr:colOff>
      <xdr:row>67</xdr:row>
      <xdr:rowOff>95250</xdr:rowOff>
    </xdr:to>
    <xdr:sp>
      <xdr:nvSpPr>
        <xdr:cNvPr id="16" name="Line 27"/>
        <xdr:cNvSpPr>
          <a:spLocks/>
        </xdr:cNvSpPr>
      </xdr:nvSpPr>
      <xdr:spPr>
        <a:xfrm flipH="1" flipV="1">
          <a:off x="2628900" y="1342072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70</xdr:row>
      <xdr:rowOff>152400</xdr:rowOff>
    </xdr:from>
    <xdr:to>
      <xdr:col>2</xdr:col>
      <xdr:colOff>971550</xdr:colOff>
      <xdr:row>72</xdr:row>
      <xdr:rowOff>38100</xdr:rowOff>
    </xdr:to>
    <xdr:sp>
      <xdr:nvSpPr>
        <xdr:cNvPr id="17" name="Oval 28"/>
        <xdr:cNvSpPr>
          <a:spLocks/>
        </xdr:cNvSpPr>
      </xdr:nvSpPr>
      <xdr:spPr>
        <a:xfrm>
          <a:off x="3609975" y="14058900"/>
          <a:ext cx="23812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619125</xdr:colOff>
      <xdr:row>69</xdr:row>
      <xdr:rowOff>171450</xdr:rowOff>
    </xdr:from>
    <xdr:to>
      <xdr:col>1</xdr:col>
      <xdr:colOff>676275</xdr:colOff>
      <xdr:row>72</xdr:row>
      <xdr:rowOff>152400</xdr:rowOff>
    </xdr:to>
    <xdr:sp>
      <xdr:nvSpPr>
        <xdr:cNvPr id="18" name="Polygon 29"/>
        <xdr:cNvSpPr>
          <a:spLocks/>
        </xdr:cNvSpPr>
      </xdr:nvSpPr>
      <xdr:spPr>
        <a:xfrm>
          <a:off x="2343150" y="13887450"/>
          <a:ext cx="57150" cy="523875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71</xdr:row>
      <xdr:rowOff>114300</xdr:rowOff>
    </xdr:from>
    <xdr:to>
      <xdr:col>1</xdr:col>
      <xdr:colOff>304800</xdr:colOff>
      <xdr:row>72</xdr:row>
      <xdr:rowOff>114300</xdr:rowOff>
    </xdr:to>
    <xdr:sp>
      <xdr:nvSpPr>
        <xdr:cNvPr id="19" name="Rectangle 30"/>
        <xdr:cNvSpPr>
          <a:spLocks/>
        </xdr:cNvSpPr>
      </xdr:nvSpPr>
      <xdr:spPr>
        <a:xfrm>
          <a:off x="1152525" y="14211300"/>
          <a:ext cx="876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BARRICADE</a:t>
          </a:r>
        </a:p>
      </xdr:txBody>
    </xdr:sp>
    <xdr:clientData/>
  </xdr:twoCellAnchor>
  <xdr:twoCellAnchor>
    <xdr:from>
      <xdr:col>1</xdr:col>
      <xdr:colOff>304800</xdr:colOff>
      <xdr:row>72</xdr:row>
      <xdr:rowOff>9525</xdr:rowOff>
    </xdr:from>
    <xdr:to>
      <xdr:col>1</xdr:col>
      <xdr:colOff>590550</xdr:colOff>
      <xdr:row>72</xdr:row>
      <xdr:rowOff>38100</xdr:rowOff>
    </xdr:to>
    <xdr:sp>
      <xdr:nvSpPr>
        <xdr:cNvPr id="20" name="Line 31"/>
        <xdr:cNvSpPr>
          <a:spLocks/>
        </xdr:cNvSpPr>
      </xdr:nvSpPr>
      <xdr:spPr>
        <a:xfrm flipV="1">
          <a:off x="2028825" y="14268450"/>
          <a:ext cx="285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82</xdr:row>
      <xdr:rowOff>85725</xdr:rowOff>
    </xdr:from>
    <xdr:to>
      <xdr:col>3</xdr:col>
      <xdr:colOff>714375</xdr:colOff>
      <xdr:row>82</xdr:row>
      <xdr:rowOff>85725</xdr:rowOff>
    </xdr:to>
    <xdr:sp>
      <xdr:nvSpPr>
        <xdr:cNvPr id="21" name="Line 39"/>
        <xdr:cNvSpPr>
          <a:spLocks/>
        </xdr:cNvSpPr>
      </xdr:nvSpPr>
      <xdr:spPr>
        <a:xfrm>
          <a:off x="2562225" y="162115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122</xdr:row>
      <xdr:rowOff>0</xdr:rowOff>
    </xdr:from>
    <xdr:to>
      <xdr:col>9</xdr:col>
      <xdr:colOff>123825</xdr:colOff>
      <xdr:row>124</xdr:row>
      <xdr:rowOff>123825</xdr:rowOff>
    </xdr:to>
    <xdr:sp>
      <xdr:nvSpPr>
        <xdr:cNvPr id="22" name="AutoShape 41"/>
        <xdr:cNvSpPr>
          <a:spLocks/>
        </xdr:cNvSpPr>
      </xdr:nvSpPr>
      <xdr:spPr>
        <a:xfrm>
          <a:off x="7124700" y="24479250"/>
          <a:ext cx="2562225" cy="457200"/>
        </a:xfrm>
        <a:custGeom>
          <a:pathLst>
            <a:path h="48" w="274">
              <a:moveTo>
                <a:pt x="274" y="0"/>
              </a:moveTo>
              <a:cubicBezTo>
                <a:pt x="266" y="1"/>
                <a:pt x="265" y="7"/>
                <a:pt x="227" y="9"/>
              </a:cubicBezTo>
              <a:cubicBezTo>
                <a:pt x="189" y="11"/>
                <a:pt x="83" y="5"/>
                <a:pt x="46" y="11"/>
              </a:cubicBezTo>
              <a:cubicBezTo>
                <a:pt x="9" y="17"/>
                <a:pt x="0" y="36"/>
                <a:pt x="7" y="42"/>
              </a:cubicBezTo>
              <a:cubicBezTo>
                <a:pt x="14" y="48"/>
                <a:pt x="71" y="46"/>
                <a:pt x="88" y="4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57150</xdr:rowOff>
    </xdr:from>
    <xdr:to>
      <xdr:col>3</xdr:col>
      <xdr:colOff>95250</xdr:colOff>
      <xdr:row>68</xdr:row>
      <xdr:rowOff>85725</xdr:rowOff>
    </xdr:to>
    <xdr:sp>
      <xdr:nvSpPr>
        <xdr:cNvPr id="1" name="Polygon 8"/>
        <xdr:cNvSpPr>
          <a:spLocks/>
        </xdr:cNvSpPr>
      </xdr:nvSpPr>
      <xdr:spPr>
        <a:xfrm>
          <a:off x="2705100" y="13630275"/>
          <a:ext cx="1085850" cy="419100"/>
        </a:xfrm>
        <a:custGeom>
          <a:pathLst>
            <a:path h="44" w="114">
              <a:moveTo>
                <a:pt x="0" y="0"/>
              </a:moveTo>
              <a:lnTo>
                <a:pt x="102" y="0"/>
              </a:lnTo>
              <a:lnTo>
                <a:pt x="114" y="44"/>
              </a:lnTo>
              <a:lnTo>
                <a:pt x="16" y="44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68</xdr:row>
      <xdr:rowOff>76200</xdr:rowOff>
    </xdr:from>
    <xdr:to>
      <xdr:col>5</xdr:col>
      <xdr:colOff>723900</xdr:colOff>
      <xdr:row>70</xdr:row>
      <xdr:rowOff>19050</xdr:rowOff>
    </xdr:to>
    <xdr:sp>
      <xdr:nvSpPr>
        <xdr:cNvPr id="2" name="Polygon 9"/>
        <xdr:cNvSpPr>
          <a:spLocks/>
        </xdr:cNvSpPr>
      </xdr:nvSpPr>
      <xdr:spPr>
        <a:xfrm>
          <a:off x="3810000" y="14039850"/>
          <a:ext cx="2381250" cy="400050"/>
        </a:xfrm>
        <a:custGeom>
          <a:pathLst>
            <a:path h="42" w="250">
              <a:moveTo>
                <a:pt x="0" y="0"/>
              </a:moveTo>
              <a:lnTo>
                <a:pt x="250" y="1"/>
              </a:lnTo>
              <a:lnTo>
                <a:pt x="248" y="39"/>
              </a:lnTo>
              <a:lnTo>
                <a:pt x="15" y="42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68</xdr:row>
      <xdr:rowOff>123825</xdr:rowOff>
    </xdr:from>
    <xdr:to>
      <xdr:col>1</xdr:col>
      <xdr:colOff>876300</xdr:colOff>
      <xdr:row>70</xdr:row>
      <xdr:rowOff>19050</xdr:rowOff>
    </xdr:to>
    <xdr:sp>
      <xdr:nvSpPr>
        <xdr:cNvPr id="3" name="Polygon 10"/>
        <xdr:cNvSpPr>
          <a:spLocks/>
        </xdr:cNvSpPr>
      </xdr:nvSpPr>
      <xdr:spPr>
        <a:xfrm>
          <a:off x="219075" y="14087475"/>
          <a:ext cx="2381250" cy="352425"/>
        </a:xfrm>
        <a:custGeom>
          <a:pathLst>
            <a:path h="37" w="250">
              <a:moveTo>
                <a:pt x="238" y="0"/>
              </a:moveTo>
              <a:lnTo>
                <a:pt x="0" y="0"/>
              </a:lnTo>
              <a:lnTo>
                <a:pt x="3" y="36"/>
              </a:lnTo>
              <a:lnTo>
                <a:pt x="250" y="37"/>
              </a:lnTo>
              <a:lnTo>
                <a:pt x="238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65</xdr:row>
      <xdr:rowOff>76200</xdr:rowOff>
    </xdr:from>
    <xdr:to>
      <xdr:col>2</xdr:col>
      <xdr:colOff>609600</xdr:colOff>
      <xdr:row>65</xdr:row>
      <xdr:rowOff>180975</xdr:rowOff>
    </xdr:to>
    <xdr:sp>
      <xdr:nvSpPr>
        <xdr:cNvPr id="4" name="Line 12"/>
        <xdr:cNvSpPr>
          <a:spLocks noChangeAspect="1"/>
        </xdr:cNvSpPr>
      </xdr:nvSpPr>
      <xdr:spPr>
        <a:xfrm flipH="1">
          <a:off x="2695575" y="13420725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64</xdr:row>
      <xdr:rowOff>142875</xdr:rowOff>
    </xdr:from>
    <xdr:to>
      <xdr:col>4</xdr:col>
      <xdr:colOff>352425</xdr:colOff>
      <xdr:row>66</xdr:row>
      <xdr:rowOff>9525</xdr:rowOff>
    </xdr:to>
    <xdr:sp>
      <xdr:nvSpPr>
        <xdr:cNvPr id="5" name="Rectangle 13"/>
        <xdr:cNvSpPr>
          <a:spLocks noChangeAspect="1"/>
        </xdr:cNvSpPr>
      </xdr:nvSpPr>
      <xdr:spPr>
        <a:xfrm>
          <a:off x="3305175" y="13306425"/>
          <a:ext cx="1543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MONTERIE</a:t>
          </a:r>
        </a:p>
      </xdr:txBody>
    </xdr:sp>
    <xdr:clientData/>
  </xdr:twoCellAnchor>
  <xdr:twoCellAnchor>
    <xdr:from>
      <xdr:col>0</xdr:col>
      <xdr:colOff>209550</xdr:colOff>
      <xdr:row>72</xdr:row>
      <xdr:rowOff>19050</xdr:rowOff>
    </xdr:from>
    <xdr:to>
      <xdr:col>5</xdr:col>
      <xdr:colOff>723900</xdr:colOff>
      <xdr:row>72</xdr:row>
      <xdr:rowOff>47625</xdr:rowOff>
    </xdr:to>
    <xdr:sp>
      <xdr:nvSpPr>
        <xdr:cNvPr id="6" name="Line 14"/>
        <xdr:cNvSpPr>
          <a:spLocks noChangeAspect="1"/>
        </xdr:cNvSpPr>
      </xdr:nvSpPr>
      <xdr:spPr>
        <a:xfrm>
          <a:off x="209550" y="14811375"/>
          <a:ext cx="5981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73</xdr:row>
      <xdr:rowOff>123825</xdr:rowOff>
    </xdr:from>
    <xdr:to>
      <xdr:col>5</xdr:col>
      <xdr:colOff>647700</xdr:colOff>
      <xdr:row>74</xdr:row>
      <xdr:rowOff>180975</xdr:rowOff>
    </xdr:to>
    <xdr:sp>
      <xdr:nvSpPr>
        <xdr:cNvPr id="7" name="Rectangle 15"/>
        <xdr:cNvSpPr>
          <a:spLocks noChangeAspect="1"/>
        </xdr:cNvSpPr>
      </xdr:nvSpPr>
      <xdr:spPr>
        <a:xfrm>
          <a:off x="5076825" y="15106650"/>
          <a:ext cx="1038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REMBLAI</a:t>
          </a:r>
        </a:p>
      </xdr:txBody>
    </xdr:sp>
    <xdr:clientData/>
  </xdr:twoCellAnchor>
  <xdr:twoCellAnchor>
    <xdr:from>
      <xdr:col>0</xdr:col>
      <xdr:colOff>771525</xdr:colOff>
      <xdr:row>68</xdr:row>
      <xdr:rowOff>76200</xdr:rowOff>
    </xdr:from>
    <xdr:to>
      <xdr:col>0</xdr:col>
      <xdr:colOff>1190625</xdr:colOff>
      <xdr:row>70</xdr:row>
      <xdr:rowOff>19050</xdr:rowOff>
    </xdr:to>
    <xdr:sp>
      <xdr:nvSpPr>
        <xdr:cNvPr id="8" name="Oval 16"/>
        <xdr:cNvSpPr>
          <a:spLocks noChangeAspect="1"/>
        </xdr:cNvSpPr>
      </xdr:nvSpPr>
      <xdr:spPr>
        <a:xfrm>
          <a:off x="771525" y="14039850"/>
          <a:ext cx="419100" cy="4000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104775</xdr:colOff>
      <xdr:row>66</xdr:row>
      <xdr:rowOff>19050</xdr:rowOff>
    </xdr:from>
    <xdr:to>
      <xdr:col>2</xdr:col>
      <xdr:colOff>561975</xdr:colOff>
      <xdr:row>68</xdr:row>
      <xdr:rowOff>76200</xdr:rowOff>
    </xdr:to>
    <xdr:sp>
      <xdr:nvSpPr>
        <xdr:cNvPr id="9" name="Oval 17"/>
        <xdr:cNvSpPr>
          <a:spLocks noChangeAspect="1"/>
        </xdr:cNvSpPr>
      </xdr:nvSpPr>
      <xdr:spPr>
        <a:xfrm>
          <a:off x="2809875" y="13592175"/>
          <a:ext cx="457200" cy="4476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714375</xdr:colOff>
      <xdr:row>68</xdr:row>
      <xdr:rowOff>38100</xdr:rowOff>
    </xdr:from>
    <xdr:to>
      <xdr:col>4</xdr:col>
      <xdr:colOff>352425</xdr:colOff>
      <xdr:row>69</xdr:row>
      <xdr:rowOff>190500</xdr:rowOff>
    </xdr:to>
    <xdr:sp>
      <xdr:nvSpPr>
        <xdr:cNvPr id="10" name="Oval 18"/>
        <xdr:cNvSpPr>
          <a:spLocks noChangeAspect="1"/>
        </xdr:cNvSpPr>
      </xdr:nvSpPr>
      <xdr:spPr>
        <a:xfrm>
          <a:off x="4410075" y="14001750"/>
          <a:ext cx="438150" cy="3810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1171575</xdr:colOff>
      <xdr:row>70</xdr:row>
      <xdr:rowOff>47625</xdr:rowOff>
    </xdr:from>
    <xdr:to>
      <xdr:col>0</xdr:col>
      <xdr:colOff>1533525</xdr:colOff>
      <xdr:row>72</xdr:row>
      <xdr:rowOff>38100</xdr:rowOff>
    </xdr:to>
    <xdr:sp>
      <xdr:nvSpPr>
        <xdr:cNvPr id="11" name="Oval 19"/>
        <xdr:cNvSpPr>
          <a:spLocks noChangeAspect="1"/>
        </xdr:cNvSpPr>
      </xdr:nvSpPr>
      <xdr:spPr>
        <a:xfrm>
          <a:off x="1171575" y="14468475"/>
          <a:ext cx="361950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476250</xdr:colOff>
      <xdr:row>73</xdr:row>
      <xdr:rowOff>76200</xdr:rowOff>
    </xdr:from>
    <xdr:to>
      <xdr:col>4</xdr:col>
      <xdr:colOff>552450</xdr:colOff>
      <xdr:row>75</xdr:row>
      <xdr:rowOff>28575</xdr:rowOff>
    </xdr:to>
    <xdr:sp>
      <xdr:nvSpPr>
        <xdr:cNvPr id="12" name="Oval 20"/>
        <xdr:cNvSpPr>
          <a:spLocks noChangeAspect="1"/>
        </xdr:cNvSpPr>
      </xdr:nvSpPr>
      <xdr:spPr>
        <a:xfrm>
          <a:off x="4171950" y="15059025"/>
          <a:ext cx="876300" cy="3333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&amp; 6
</a:t>
          </a:r>
        </a:p>
      </xdr:txBody>
    </xdr:sp>
    <xdr:clientData/>
  </xdr:twoCellAnchor>
  <xdr:twoCellAnchor>
    <xdr:from>
      <xdr:col>1</xdr:col>
      <xdr:colOff>933450</xdr:colOff>
      <xdr:row>69</xdr:row>
      <xdr:rowOff>47625</xdr:rowOff>
    </xdr:from>
    <xdr:to>
      <xdr:col>2</xdr:col>
      <xdr:colOff>0</xdr:colOff>
      <xdr:row>72</xdr:row>
      <xdr:rowOff>38100</xdr:rowOff>
    </xdr:to>
    <xdr:sp>
      <xdr:nvSpPr>
        <xdr:cNvPr id="13" name="Polygon 21"/>
        <xdr:cNvSpPr>
          <a:spLocks noChangeAspect="1"/>
        </xdr:cNvSpPr>
      </xdr:nvSpPr>
      <xdr:spPr>
        <a:xfrm>
          <a:off x="2657475" y="14239875"/>
          <a:ext cx="47625" cy="590550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74</xdr:row>
      <xdr:rowOff>114300</xdr:rowOff>
    </xdr:from>
    <xdr:to>
      <xdr:col>1</xdr:col>
      <xdr:colOff>85725</xdr:colOff>
      <xdr:row>75</xdr:row>
      <xdr:rowOff>142875</xdr:rowOff>
    </xdr:to>
    <xdr:sp>
      <xdr:nvSpPr>
        <xdr:cNvPr id="14" name="Rectangle 22"/>
        <xdr:cNvSpPr>
          <a:spLocks noChangeAspect="1"/>
        </xdr:cNvSpPr>
      </xdr:nvSpPr>
      <xdr:spPr>
        <a:xfrm>
          <a:off x="781050" y="15287625"/>
          <a:ext cx="1028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BARRICADE</a:t>
          </a:r>
        </a:p>
      </xdr:txBody>
    </xdr:sp>
    <xdr:clientData/>
  </xdr:twoCellAnchor>
  <xdr:twoCellAnchor>
    <xdr:from>
      <xdr:col>0</xdr:col>
      <xdr:colOff>219075</xdr:colOff>
      <xdr:row>64</xdr:row>
      <xdr:rowOff>19050</xdr:rowOff>
    </xdr:from>
    <xdr:to>
      <xdr:col>5</xdr:col>
      <xdr:colOff>742950</xdr:colOff>
      <xdr:row>76</xdr:row>
      <xdr:rowOff>76200</xdr:rowOff>
    </xdr:to>
    <xdr:sp>
      <xdr:nvSpPr>
        <xdr:cNvPr id="15" name="Polygon 23"/>
        <xdr:cNvSpPr>
          <a:spLocks/>
        </xdr:cNvSpPr>
      </xdr:nvSpPr>
      <xdr:spPr>
        <a:xfrm>
          <a:off x="219075" y="13182600"/>
          <a:ext cx="5991225" cy="2419350"/>
        </a:xfrm>
        <a:custGeom>
          <a:pathLst>
            <a:path h="242" w="567">
              <a:moveTo>
                <a:pt x="2" y="242"/>
              </a:moveTo>
              <a:lnTo>
                <a:pt x="3" y="125"/>
              </a:lnTo>
              <a:lnTo>
                <a:pt x="226" y="125"/>
              </a:lnTo>
              <a:lnTo>
                <a:pt x="186" y="0"/>
              </a:lnTo>
              <a:lnTo>
                <a:pt x="220" y="2"/>
              </a:lnTo>
              <a:lnTo>
                <a:pt x="249" y="86"/>
              </a:lnTo>
              <a:lnTo>
                <a:pt x="341" y="86"/>
              </a:lnTo>
              <a:lnTo>
                <a:pt x="353" y="125"/>
              </a:lnTo>
              <a:lnTo>
                <a:pt x="565" y="123"/>
              </a:lnTo>
              <a:lnTo>
                <a:pt x="567" y="239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72</xdr:row>
      <xdr:rowOff>66675</xdr:rowOff>
    </xdr:from>
    <xdr:to>
      <xdr:col>2</xdr:col>
      <xdr:colOff>428625</xdr:colOff>
      <xdr:row>76</xdr:row>
      <xdr:rowOff>47625</xdr:rowOff>
    </xdr:to>
    <xdr:sp>
      <xdr:nvSpPr>
        <xdr:cNvPr id="16" name="Rectangle 24"/>
        <xdr:cNvSpPr>
          <a:spLocks/>
        </xdr:cNvSpPr>
      </xdr:nvSpPr>
      <xdr:spPr>
        <a:xfrm rot="20998754">
          <a:off x="3028950" y="14859000"/>
          <a:ext cx="1047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72</xdr:row>
      <xdr:rowOff>57150</xdr:rowOff>
    </xdr:from>
    <xdr:to>
      <xdr:col>2</xdr:col>
      <xdr:colOff>914400</xdr:colOff>
      <xdr:row>76</xdr:row>
      <xdr:rowOff>38100</xdr:rowOff>
    </xdr:to>
    <xdr:sp>
      <xdr:nvSpPr>
        <xdr:cNvPr id="17" name="Rectangle 25"/>
        <xdr:cNvSpPr>
          <a:spLocks/>
        </xdr:cNvSpPr>
      </xdr:nvSpPr>
      <xdr:spPr>
        <a:xfrm rot="20998754">
          <a:off x="3514725" y="14849475"/>
          <a:ext cx="1047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69</xdr:row>
      <xdr:rowOff>76200</xdr:rowOff>
    </xdr:from>
    <xdr:to>
      <xdr:col>2</xdr:col>
      <xdr:colOff>304800</xdr:colOff>
      <xdr:row>72</xdr:row>
      <xdr:rowOff>76200</xdr:rowOff>
    </xdr:to>
    <xdr:sp>
      <xdr:nvSpPr>
        <xdr:cNvPr id="18" name="Rectangle 26"/>
        <xdr:cNvSpPr>
          <a:spLocks/>
        </xdr:cNvSpPr>
      </xdr:nvSpPr>
      <xdr:spPr>
        <a:xfrm rot="20998754">
          <a:off x="2914650" y="14268450"/>
          <a:ext cx="95250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69</xdr:row>
      <xdr:rowOff>76200</xdr:rowOff>
    </xdr:from>
    <xdr:to>
      <xdr:col>2</xdr:col>
      <xdr:colOff>790575</xdr:colOff>
      <xdr:row>72</xdr:row>
      <xdr:rowOff>66675</xdr:rowOff>
    </xdr:to>
    <xdr:sp>
      <xdr:nvSpPr>
        <xdr:cNvPr id="19" name="Rectangle 27"/>
        <xdr:cNvSpPr>
          <a:spLocks/>
        </xdr:cNvSpPr>
      </xdr:nvSpPr>
      <xdr:spPr>
        <a:xfrm rot="20998754">
          <a:off x="3400425" y="14268450"/>
          <a:ext cx="95250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71</xdr:row>
      <xdr:rowOff>133350</xdr:rowOff>
    </xdr:from>
    <xdr:to>
      <xdr:col>3</xdr:col>
      <xdr:colOff>495300</xdr:colOff>
      <xdr:row>74</xdr:row>
      <xdr:rowOff>28575</xdr:rowOff>
    </xdr:to>
    <xdr:sp>
      <xdr:nvSpPr>
        <xdr:cNvPr id="20" name="Line 28"/>
        <xdr:cNvSpPr>
          <a:spLocks/>
        </xdr:cNvSpPr>
      </xdr:nvSpPr>
      <xdr:spPr>
        <a:xfrm flipH="1" flipV="1">
          <a:off x="3552825" y="14735175"/>
          <a:ext cx="638175" cy="466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71</xdr:row>
      <xdr:rowOff>142875</xdr:rowOff>
    </xdr:from>
    <xdr:to>
      <xdr:col>3</xdr:col>
      <xdr:colOff>485775</xdr:colOff>
      <xdr:row>74</xdr:row>
      <xdr:rowOff>28575</xdr:rowOff>
    </xdr:to>
    <xdr:sp>
      <xdr:nvSpPr>
        <xdr:cNvPr id="21" name="Line 29"/>
        <xdr:cNvSpPr>
          <a:spLocks/>
        </xdr:cNvSpPr>
      </xdr:nvSpPr>
      <xdr:spPr>
        <a:xfrm flipH="1" flipV="1">
          <a:off x="3057525" y="14744700"/>
          <a:ext cx="112395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69</xdr:row>
      <xdr:rowOff>85725</xdr:rowOff>
    </xdr:from>
    <xdr:to>
      <xdr:col>5</xdr:col>
      <xdr:colOff>723900</xdr:colOff>
      <xdr:row>69</xdr:row>
      <xdr:rowOff>104775</xdr:rowOff>
    </xdr:to>
    <xdr:sp>
      <xdr:nvSpPr>
        <xdr:cNvPr id="22" name="Line 30"/>
        <xdr:cNvSpPr>
          <a:spLocks noChangeAspect="1"/>
        </xdr:cNvSpPr>
      </xdr:nvSpPr>
      <xdr:spPr>
        <a:xfrm>
          <a:off x="209550" y="14277975"/>
          <a:ext cx="59817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71</xdr:row>
      <xdr:rowOff>114300</xdr:rowOff>
    </xdr:from>
    <xdr:to>
      <xdr:col>1</xdr:col>
      <xdr:colOff>828675</xdr:colOff>
      <xdr:row>75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809750" y="14716125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71</xdr:row>
      <xdr:rowOff>28575</xdr:rowOff>
    </xdr:from>
    <xdr:to>
      <xdr:col>1</xdr:col>
      <xdr:colOff>847725</xdr:colOff>
      <xdr:row>71</xdr:row>
      <xdr:rowOff>38100</xdr:rowOff>
    </xdr:to>
    <xdr:sp>
      <xdr:nvSpPr>
        <xdr:cNvPr id="24" name="Line 32"/>
        <xdr:cNvSpPr>
          <a:spLocks/>
        </xdr:cNvSpPr>
      </xdr:nvSpPr>
      <xdr:spPr>
        <a:xfrm flipV="1">
          <a:off x="1552575" y="14630400"/>
          <a:ext cx="10191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190</xdr:row>
      <xdr:rowOff>104775</xdr:rowOff>
    </xdr:from>
    <xdr:to>
      <xdr:col>10</xdr:col>
      <xdr:colOff>847725</xdr:colOff>
      <xdr:row>191</xdr:row>
      <xdr:rowOff>180975</xdr:rowOff>
    </xdr:to>
    <xdr:sp>
      <xdr:nvSpPr>
        <xdr:cNvPr id="25" name="AutoShape 46"/>
        <xdr:cNvSpPr>
          <a:spLocks/>
        </xdr:cNvSpPr>
      </xdr:nvSpPr>
      <xdr:spPr>
        <a:xfrm>
          <a:off x="10287000" y="38176200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65</xdr:row>
      <xdr:rowOff>0</xdr:rowOff>
    </xdr:from>
    <xdr:to>
      <xdr:col>0</xdr:col>
      <xdr:colOff>1638300</xdr:colOff>
      <xdr:row>65</xdr:row>
      <xdr:rowOff>209550</xdr:rowOff>
    </xdr:to>
    <xdr:sp>
      <xdr:nvSpPr>
        <xdr:cNvPr id="26" name="Rectangle 48"/>
        <xdr:cNvSpPr>
          <a:spLocks/>
        </xdr:cNvSpPr>
      </xdr:nvSpPr>
      <xdr:spPr>
        <a:xfrm>
          <a:off x="1047750" y="13344525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A</a:t>
          </a:r>
        </a:p>
      </xdr:txBody>
    </xdr:sp>
    <xdr:clientData/>
  </xdr:twoCellAnchor>
  <xdr:twoCellAnchor>
    <xdr:from>
      <xdr:col>4</xdr:col>
      <xdr:colOff>723900</xdr:colOff>
      <xdr:row>65</xdr:row>
      <xdr:rowOff>38100</xdr:rowOff>
    </xdr:from>
    <xdr:to>
      <xdr:col>5</xdr:col>
      <xdr:colOff>342900</xdr:colOff>
      <xdr:row>66</xdr:row>
      <xdr:rowOff>19050</xdr:rowOff>
    </xdr:to>
    <xdr:sp>
      <xdr:nvSpPr>
        <xdr:cNvPr id="27" name="Rectangle 49"/>
        <xdr:cNvSpPr>
          <a:spLocks/>
        </xdr:cNvSpPr>
      </xdr:nvSpPr>
      <xdr:spPr>
        <a:xfrm>
          <a:off x="5219700" y="13382625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B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0.90025</cdr:y>
    </cdr:from>
    <cdr:to>
      <cdr:x>0.323</cdr:x>
      <cdr:y>0.978</cdr:y>
    </cdr:to>
    <cdr:sp>
      <cdr:nvSpPr>
        <cdr:cNvPr id="1" name="Rectangle 1"/>
        <cdr:cNvSpPr>
          <a:spLocks/>
        </cdr:cNvSpPr>
      </cdr:nvSpPr>
      <cdr:spPr>
        <a:xfrm>
          <a:off x="85725" y="2076450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0.86775</cdr:y>
    </cdr:from>
    <cdr:to>
      <cdr:x>0.28475</cdr:x>
      <cdr:y>0.973</cdr:y>
    </cdr:to>
    <cdr:sp>
      <cdr:nvSpPr>
        <cdr:cNvPr id="1" name="Rectangle 1"/>
        <cdr:cNvSpPr>
          <a:spLocks/>
        </cdr:cNvSpPr>
      </cdr:nvSpPr>
      <cdr:spPr>
        <a:xfrm>
          <a:off x="28575" y="184785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estimation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0.89525</cdr:y>
    </cdr:from>
    <cdr:to>
      <cdr:x>0.3155</cdr:x>
      <cdr:y>1</cdr:y>
    </cdr:to>
    <cdr:sp>
      <cdr:nvSpPr>
        <cdr:cNvPr id="1" name="Rectangle 1"/>
        <cdr:cNvSpPr>
          <a:spLocks/>
        </cdr:cNvSpPr>
      </cdr:nvSpPr>
      <cdr:spPr>
        <a:xfrm>
          <a:off x="47625" y="1924050"/>
          <a:ext cx="1114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Atlas Copco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0.8515</cdr:y>
    </cdr:from>
    <cdr:to>
      <cdr:x>0.38975</cdr:x>
      <cdr:y>0.9845</cdr:y>
    </cdr:to>
    <cdr:sp>
      <cdr:nvSpPr>
        <cdr:cNvPr id="1" name="Rectangle 1"/>
        <cdr:cNvSpPr>
          <a:spLocks/>
        </cdr:cNvSpPr>
      </cdr:nvSpPr>
      <cdr:spPr>
        <a:xfrm>
          <a:off x="85725" y="224790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Ingersoll-Rand
18,5 HP @ 90 psi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60</xdr:row>
      <xdr:rowOff>28575</xdr:rowOff>
    </xdr:from>
    <xdr:to>
      <xdr:col>9</xdr:col>
      <xdr:colOff>666750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4276725" y="11134725"/>
        <a:ext cx="3609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0</xdr:colOff>
      <xdr:row>44</xdr:row>
      <xdr:rowOff>76200</xdr:rowOff>
    </xdr:from>
    <xdr:to>
      <xdr:col>9</xdr:col>
      <xdr:colOff>704850</xdr:colOff>
      <xdr:row>57</xdr:row>
      <xdr:rowOff>76200</xdr:rowOff>
    </xdr:to>
    <xdr:graphicFrame>
      <xdr:nvGraphicFramePr>
        <xdr:cNvPr id="2" name="Chart 6"/>
        <xdr:cNvGraphicFramePr/>
      </xdr:nvGraphicFramePr>
      <xdr:xfrm>
        <a:off x="4171950" y="8543925"/>
        <a:ext cx="37528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29</xdr:row>
      <xdr:rowOff>76200</xdr:rowOff>
    </xdr:from>
    <xdr:to>
      <xdr:col>9</xdr:col>
      <xdr:colOff>704850</xdr:colOff>
      <xdr:row>42</xdr:row>
      <xdr:rowOff>95250</xdr:rowOff>
    </xdr:to>
    <xdr:graphicFrame>
      <xdr:nvGraphicFramePr>
        <xdr:cNvPr id="3" name="Chart 7"/>
        <xdr:cNvGraphicFramePr/>
      </xdr:nvGraphicFramePr>
      <xdr:xfrm>
        <a:off x="4210050" y="6067425"/>
        <a:ext cx="3714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11</xdr:row>
      <xdr:rowOff>9525</xdr:rowOff>
    </xdr:from>
    <xdr:to>
      <xdr:col>9</xdr:col>
      <xdr:colOff>752475</xdr:colOff>
      <xdr:row>27</xdr:row>
      <xdr:rowOff>28575</xdr:rowOff>
    </xdr:to>
    <xdr:graphicFrame>
      <xdr:nvGraphicFramePr>
        <xdr:cNvPr id="4" name="Chart 8"/>
        <xdr:cNvGraphicFramePr/>
      </xdr:nvGraphicFramePr>
      <xdr:xfrm>
        <a:off x="4219575" y="3028950"/>
        <a:ext cx="37528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133350</xdr:rowOff>
    </xdr:from>
    <xdr:to>
      <xdr:col>4</xdr:col>
      <xdr:colOff>733425</xdr:colOff>
      <xdr:row>23</xdr:row>
      <xdr:rowOff>28575</xdr:rowOff>
    </xdr:to>
    <xdr:grpSp>
      <xdr:nvGrpSpPr>
        <xdr:cNvPr id="1" name="Group 73"/>
        <xdr:cNvGrpSpPr>
          <a:grpSpLocks/>
        </xdr:cNvGrpSpPr>
      </xdr:nvGrpSpPr>
      <xdr:grpSpPr>
        <a:xfrm>
          <a:off x="323850" y="2543175"/>
          <a:ext cx="3457575" cy="1352550"/>
          <a:chOff x="30" y="259"/>
          <a:chExt cx="363" cy="142"/>
        </a:xfrm>
        <a:solidFill>
          <a:srgbClr val="FFFFFF"/>
        </a:solidFill>
      </xdr:grpSpPr>
      <xdr:sp>
        <xdr:nvSpPr>
          <xdr:cNvPr id="2" name="Polygon 1"/>
          <xdr:cNvSpPr>
            <a:spLocks/>
          </xdr:cNvSpPr>
        </xdr:nvSpPr>
        <xdr:spPr>
          <a:xfrm>
            <a:off x="30" y="259"/>
            <a:ext cx="363" cy="142"/>
          </a:xfrm>
          <a:custGeom>
            <a:pathLst>
              <a:path h="142" w="363">
                <a:moveTo>
                  <a:pt x="5" y="140"/>
                </a:moveTo>
                <a:cubicBezTo>
                  <a:pt x="8" y="142"/>
                  <a:pt x="3" y="115"/>
                  <a:pt x="5" y="103"/>
                </a:cubicBezTo>
                <a:cubicBezTo>
                  <a:pt x="6" y="99"/>
                  <a:pt x="7" y="88"/>
                  <a:pt x="7" y="88"/>
                </a:cubicBezTo>
                <a:cubicBezTo>
                  <a:pt x="8" y="83"/>
                  <a:pt x="0" y="73"/>
                  <a:pt x="8" y="70"/>
                </a:cubicBezTo>
                <a:cubicBezTo>
                  <a:pt x="16" y="67"/>
                  <a:pt x="37" y="69"/>
                  <a:pt x="56" y="70"/>
                </a:cubicBezTo>
                <a:cubicBezTo>
                  <a:pt x="61" y="70"/>
                  <a:pt x="113" y="72"/>
                  <a:pt x="121" y="74"/>
                </a:cubicBezTo>
                <a:cubicBezTo>
                  <a:pt x="127" y="74"/>
                  <a:pt x="139" y="77"/>
                  <a:pt x="139" y="77"/>
                </a:cubicBezTo>
                <a:cubicBezTo>
                  <a:pt x="141" y="77"/>
                  <a:pt x="143" y="77"/>
                  <a:pt x="145" y="75"/>
                </a:cubicBezTo>
                <a:cubicBezTo>
                  <a:pt x="149" y="70"/>
                  <a:pt x="137" y="37"/>
                  <a:pt x="134" y="32"/>
                </a:cubicBezTo>
                <a:cubicBezTo>
                  <a:pt x="132" y="19"/>
                  <a:pt x="126" y="11"/>
                  <a:pt x="123" y="0"/>
                </a:cubicBezTo>
                <a:cubicBezTo>
                  <a:pt x="129" y="0"/>
                  <a:pt x="135" y="0"/>
                  <a:pt x="141" y="2"/>
                </a:cubicBezTo>
                <a:cubicBezTo>
                  <a:pt x="152" y="5"/>
                  <a:pt x="157" y="72"/>
                  <a:pt x="167" y="77"/>
                </a:cubicBezTo>
                <a:cubicBezTo>
                  <a:pt x="174" y="74"/>
                  <a:pt x="183" y="74"/>
                  <a:pt x="189" y="72"/>
                </a:cubicBezTo>
                <a:cubicBezTo>
                  <a:pt x="211" y="74"/>
                  <a:pt x="232" y="77"/>
                  <a:pt x="254" y="79"/>
                </a:cubicBezTo>
                <a:cubicBezTo>
                  <a:pt x="277" y="79"/>
                  <a:pt x="299" y="77"/>
                  <a:pt x="321" y="77"/>
                </a:cubicBezTo>
                <a:cubicBezTo>
                  <a:pt x="349" y="77"/>
                  <a:pt x="343" y="68"/>
                  <a:pt x="352" y="84"/>
                </a:cubicBezTo>
                <a:cubicBezTo>
                  <a:pt x="357" y="109"/>
                  <a:pt x="363" y="114"/>
                  <a:pt x="363" y="142"/>
                </a:cubicBezTo>
                <a:lnTo>
                  <a:pt x="6" y="14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09" y="272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B</a:t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38" y="275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A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177" y="271"/>
            <a:ext cx="4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216" y="262"/>
            <a:ext cx="8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34" y="351"/>
            <a:ext cx="3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159" y="363"/>
            <a:ext cx="6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REMBLAI</a:t>
            </a:r>
          </a:p>
        </xdr:txBody>
      </xdr:sp>
      <xdr:sp>
        <xdr:nvSpPr>
          <xdr:cNvPr id="9" name="Polygon 8"/>
          <xdr:cNvSpPr>
            <a:spLocks/>
          </xdr:cNvSpPr>
        </xdr:nvSpPr>
        <xdr:spPr>
          <a:xfrm>
            <a:off x="182" y="306"/>
            <a:ext cx="65" cy="24"/>
          </a:xfrm>
          <a:custGeom>
            <a:pathLst>
              <a:path h="21" w="63">
                <a:moveTo>
                  <a:pt x="0" y="0"/>
                </a:moveTo>
                <a:cubicBezTo>
                  <a:pt x="7" y="1"/>
                  <a:pt x="14" y="2"/>
                  <a:pt x="20" y="4"/>
                </a:cubicBezTo>
                <a:cubicBezTo>
                  <a:pt x="31" y="3"/>
                  <a:pt x="44" y="1"/>
                  <a:pt x="55" y="3"/>
                </a:cubicBezTo>
                <a:cubicBezTo>
                  <a:pt x="58" y="11"/>
                  <a:pt x="56" y="7"/>
                  <a:pt x="61" y="15"/>
                </a:cubicBezTo>
                <a:cubicBezTo>
                  <a:pt x="62" y="17"/>
                  <a:pt x="63" y="21"/>
                  <a:pt x="63" y="2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85" y="308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263" y="310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111" y="305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3" name="Polygon 12"/>
          <xdr:cNvSpPr>
            <a:spLocks/>
          </xdr:cNvSpPr>
        </xdr:nvSpPr>
        <xdr:spPr>
          <a:xfrm>
            <a:off x="30" y="304"/>
            <a:ext cx="141" cy="25"/>
          </a:xfrm>
          <a:custGeom>
            <a:pathLst>
              <a:path h="24" w="134">
                <a:moveTo>
                  <a:pt x="3" y="24"/>
                </a:moveTo>
                <a:cubicBezTo>
                  <a:pt x="5" y="16"/>
                  <a:pt x="0" y="2"/>
                  <a:pt x="10" y="0"/>
                </a:cubicBezTo>
                <a:cubicBezTo>
                  <a:pt x="47" y="0"/>
                  <a:pt x="83" y="0"/>
                  <a:pt x="120" y="1"/>
                </a:cubicBezTo>
                <a:cubicBezTo>
                  <a:pt x="125" y="1"/>
                  <a:pt x="134" y="2"/>
                  <a:pt x="134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Polygon 13"/>
          <xdr:cNvSpPr>
            <a:spLocks/>
          </xdr:cNvSpPr>
        </xdr:nvSpPr>
        <xdr:spPr>
          <a:xfrm>
            <a:off x="240" y="302"/>
            <a:ext cx="138" cy="30"/>
          </a:xfrm>
          <a:custGeom>
            <a:pathLst>
              <a:path h="30" w="138">
                <a:moveTo>
                  <a:pt x="0" y="6"/>
                </a:moveTo>
                <a:cubicBezTo>
                  <a:pt x="31" y="12"/>
                  <a:pt x="65" y="5"/>
                  <a:pt x="96" y="2"/>
                </a:cubicBezTo>
                <a:cubicBezTo>
                  <a:pt x="107" y="2"/>
                  <a:pt x="119" y="0"/>
                  <a:pt x="129" y="6"/>
                </a:cubicBezTo>
                <a:cubicBezTo>
                  <a:pt x="134" y="14"/>
                  <a:pt x="138" y="20"/>
                  <a:pt x="138" y="30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4"/>
          <xdr:cNvSpPr>
            <a:spLocks/>
          </xdr:cNvSpPr>
        </xdr:nvSpPr>
        <xdr:spPr>
          <a:xfrm>
            <a:off x="229" y="363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0</xdr:col>
      <xdr:colOff>276225</xdr:colOff>
      <xdr:row>27</xdr:row>
      <xdr:rowOff>19050</xdr:rowOff>
    </xdr:from>
    <xdr:to>
      <xdr:col>4</xdr:col>
      <xdr:colOff>685800</xdr:colOff>
      <xdr:row>35</xdr:row>
      <xdr:rowOff>76200</xdr:rowOff>
    </xdr:to>
    <xdr:sp>
      <xdr:nvSpPr>
        <xdr:cNvPr id="16" name="Polygon 15"/>
        <xdr:cNvSpPr>
          <a:spLocks/>
        </xdr:cNvSpPr>
      </xdr:nvSpPr>
      <xdr:spPr>
        <a:xfrm>
          <a:off x="276225" y="4610100"/>
          <a:ext cx="3457575" cy="1352550"/>
        </a:xfrm>
        <a:custGeom>
          <a:pathLst>
            <a:path h="142" w="363">
              <a:moveTo>
                <a:pt x="5" y="140"/>
              </a:moveTo>
              <a:cubicBezTo>
                <a:pt x="8" y="142"/>
                <a:pt x="3" y="115"/>
                <a:pt x="5" y="103"/>
              </a:cubicBezTo>
              <a:cubicBezTo>
                <a:pt x="6" y="99"/>
                <a:pt x="7" y="88"/>
                <a:pt x="7" y="88"/>
              </a:cubicBezTo>
              <a:cubicBezTo>
                <a:pt x="8" y="83"/>
                <a:pt x="0" y="73"/>
                <a:pt x="8" y="70"/>
              </a:cubicBezTo>
              <a:cubicBezTo>
                <a:pt x="16" y="67"/>
                <a:pt x="37" y="69"/>
                <a:pt x="56" y="70"/>
              </a:cubicBezTo>
              <a:cubicBezTo>
                <a:pt x="61" y="70"/>
                <a:pt x="113" y="72"/>
                <a:pt x="121" y="74"/>
              </a:cubicBezTo>
              <a:cubicBezTo>
                <a:pt x="127" y="74"/>
                <a:pt x="139" y="77"/>
                <a:pt x="139" y="77"/>
              </a:cubicBezTo>
              <a:cubicBezTo>
                <a:pt x="141" y="77"/>
                <a:pt x="143" y="77"/>
                <a:pt x="145" y="75"/>
              </a:cubicBezTo>
              <a:cubicBezTo>
                <a:pt x="149" y="70"/>
                <a:pt x="137" y="37"/>
                <a:pt x="134" y="32"/>
              </a:cubicBezTo>
              <a:cubicBezTo>
                <a:pt x="132" y="19"/>
                <a:pt x="126" y="11"/>
                <a:pt x="123" y="0"/>
              </a:cubicBezTo>
              <a:cubicBezTo>
                <a:pt x="129" y="0"/>
                <a:pt x="135" y="0"/>
                <a:pt x="141" y="2"/>
              </a:cubicBezTo>
              <a:cubicBezTo>
                <a:pt x="152" y="5"/>
                <a:pt x="157" y="72"/>
                <a:pt x="167" y="77"/>
              </a:cubicBezTo>
              <a:cubicBezTo>
                <a:pt x="174" y="74"/>
                <a:pt x="183" y="74"/>
                <a:pt x="189" y="72"/>
              </a:cubicBezTo>
              <a:cubicBezTo>
                <a:pt x="211" y="74"/>
                <a:pt x="232" y="77"/>
                <a:pt x="254" y="79"/>
              </a:cubicBezTo>
              <a:cubicBezTo>
                <a:pt x="277" y="79"/>
                <a:pt x="299" y="77"/>
                <a:pt x="321" y="77"/>
              </a:cubicBezTo>
              <a:cubicBezTo>
                <a:pt x="349" y="77"/>
                <a:pt x="343" y="68"/>
                <a:pt x="352" y="84"/>
              </a:cubicBezTo>
              <a:cubicBezTo>
                <a:pt x="357" y="109"/>
                <a:pt x="363" y="114"/>
                <a:pt x="363" y="142"/>
              </a:cubicBezTo>
              <a:lnTo>
                <a:pt x="6" y="1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26</xdr:row>
      <xdr:rowOff>57150</xdr:rowOff>
    </xdr:from>
    <xdr:to>
      <xdr:col>1</xdr:col>
      <xdr:colOff>142875</xdr:colOff>
      <xdr:row>27</xdr:row>
      <xdr:rowOff>85725</xdr:rowOff>
    </xdr:to>
    <xdr:sp>
      <xdr:nvSpPr>
        <xdr:cNvPr id="17" name="Rectangle 16"/>
        <xdr:cNvSpPr>
          <a:spLocks/>
        </xdr:cNvSpPr>
      </xdr:nvSpPr>
      <xdr:spPr>
        <a:xfrm>
          <a:off x="390525" y="44862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A</a:t>
          </a:r>
        </a:p>
      </xdr:txBody>
    </xdr:sp>
    <xdr:clientData/>
  </xdr:twoCellAnchor>
  <xdr:twoCellAnchor>
    <xdr:from>
      <xdr:col>4</xdr:col>
      <xdr:colOff>76200</xdr:colOff>
      <xdr:row>26</xdr:row>
      <xdr:rowOff>76200</xdr:rowOff>
    </xdr:from>
    <xdr:to>
      <xdr:col>4</xdr:col>
      <xdr:colOff>590550</xdr:colOff>
      <xdr:row>27</xdr:row>
      <xdr:rowOff>114300</xdr:rowOff>
    </xdr:to>
    <xdr:sp>
      <xdr:nvSpPr>
        <xdr:cNvPr id="18" name="Rectangle 17"/>
        <xdr:cNvSpPr>
          <a:spLocks/>
        </xdr:cNvSpPr>
      </xdr:nvSpPr>
      <xdr:spPr>
        <a:xfrm>
          <a:off x="3124200" y="4505325"/>
          <a:ext cx="514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B</a:t>
          </a:r>
        </a:p>
      </xdr:txBody>
    </xdr:sp>
    <xdr:clientData/>
  </xdr:twoCellAnchor>
  <xdr:twoCellAnchor>
    <xdr:from>
      <xdr:col>2</xdr:col>
      <xdr:colOff>161925</xdr:colOff>
      <xdr:row>28</xdr:row>
      <xdr:rowOff>9525</xdr:rowOff>
    </xdr:from>
    <xdr:to>
      <xdr:col>2</xdr:col>
      <xdr:colOff>600075</xdr:colOff>
      <xdr:row>28</xdr:row>
      <xdr:rowOff>76200</xdr:rowOff>
    </xdr:to>
    <xdr:sp>
      <xdr:nvSpPr>
        <xdr:cNvPr id="19" name="Line 18"/>
        <xdr:cNvSpPr>
          <a:spLocks/>
        </xdr:cNvSpPr>
      </xdr:nvSpPr>
      <xdr:spPr>
        <a:xfrm flipH="1">
          <a:off x="1685925" y="47625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85725</xdr:rowOff>
    </xdr:from>
    <xdr:to>
      <xdr:col>3</xdr:col>
      <xdr:colOff>657225</xdr:colOff>
      <xdr:row>28</xdr:row>
      <xdr:rowOff>76200</xdr:rowOff>
    </xdr:to>
    <xdr:sp>
      <xdr:nvSpPr>
        <xdr:cNvPr id="20" name="Rectangle 19"/>
        <xdr:cNvSpPr>
          <a:spLocks/>
        </xdr:cNvSpPr>
      </xdr:nvSpPr>
      <xdr:spPr>
        <a:xfrm>
          <a:off x="2133600" y="4676775"/>
          <a:ext cx="8096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MONTERIE</a:t>
          </a:r>
        </a:p>
      </xdr:txBody>
    </xdr:sp>
    <xdr:clientData/>
  </xdr:twoCellAnchor>
  <xdr:twoCellAnchor>
    <xdr:from>
      <xdr:col>0</xdr:col>
      <xdr:colOff>323850</xdr:colOff>
      <xdr:row>32</xdr:row>
      <xdr:rowOff>123825</xdr:rowOff>
    </xdr:from>
    <xdr:to>
      <xdr:col>4</xdr:col>
      <xdr:colOff>619125</xdr:colOff>
      <xdr:row>32</xdr:row>
      <xdr:rowOff>133350</xdr:rowOff>
    </xdr:to>
    <xdr:sp>
      <xdr:nvSpPr>
        <xdr:cNvPr id="21" name="Line 20"/>
        <xdr:cNvSpPr>
          <a:spLocks/>
        </xdr:cNvSpPr>
      </xdr:nvSpPr>
      <xdr:spPr>
        <a:xfrm>
          <a:off x="323850" y="5524500"/>
          <a:ext cx="3343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33</xdr:row>
      <xdr:rowOff>76200</xdr:rowOff>
    </xdr:from>
    <xdr:to>
      <xdr:col>3</xdr:col>
      <xdr:colOff>314325</xdr:colOff>
      <xdr:row>34</xdr:row>
      <xdr:rowOff>85725</xdr:rowOff>
    </xdr:to>
    <xdr:sp>
      <xdr:nvSpPr>
        <xdr:cNvPr id="22" name="Rectangle 21"/>
        <xdr:cNvSpPr>
          <a:spLocks/>
        </xdr:cNvSpPr>
      </xdr:nvSpPr>
      <xdr:spPr>
        <a:xfrm>
          <a:off x="1895475" y="56388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REMBLAI</a:t>
          </a:r>
        </a:p>
      </xdr:txBody>
    </xdr:sp>
    <xdr:clientData/>
  </xdr:twoCellAnchor>
  <xdr:twoCellAnchor>
    <xdr:from>
      <xdr:col>0</xdr:col>
      <xdr:colOff>104775</xdr:colOff>
      <xdr:row>29</xdr:row>
      <xdr:rowOff>114300</xdr:rowOff>
    </xdr:from>
    <xdr:to>
      <xdr:col>0</xdr:col>
      <xdr:colOff>314325</xdr:colOff>
      <xdr:row>31</xdr:row>
      <xdr:rowOff>0</xdr:rowOff>
    </xdr:to>
    <xdr:sp>
      <xdr:nvSpPr>
        <xdr:cNvPr id="23" name="Oval 23"/>
        <xdr:cNvSpPr>
          <a:spLocks/>
        </xdr:cNvSpPr>
      </xdr:nvSpPr>
      <xdr:spPr>
        <a:xfrm>
          <a:off x="104775" y="50292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180975</xdr:colOff>
      <xdr:row>30</xdr:row>
      <xdr:rowOff>28575</xdr:rowOff>
    </xdr:from>
    <xdr:to>
      <xdr:col>3</xdr:col>
      <xdr:colOff>390525</xdr:colOff>
      <xdr:row>31</xdr:row>
      <xdr:rowOff>76200</xdr:rowOff>
    </xdr:to>
    <xdr:sp>
      <xdr:nvSpPr>
        <xdr:cNvPr id="24" name="Oval 24"/>
        <xdr:cNvSpPr>
          <a:spLocks/>
        </xdr:cNvSpPr>
      </xdr:nvSpPr>
      <xdr:spPr>
        <a:xfrm>
          <a:off x="2466975" y="51054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628650</xdr:colOff>
      <xdr:row>32</xdr:row>
      <xdr:rowOff>123825</xdr:rowOff>
    </xdr:from>
    <xdr:to>
      <xdr:col>1</xdr:col>
      <xdr:colOff>76200</xdr:colOff>
      <xdr:row>34</xdr:row>
      <xdr:rowOff>9525</xdr:rowOff>
    </xdr:to>
    <xdr:sp>
      <xdr:nvSpPr>
        <xdr:cNvPr id="25" name="Oval 25"/>
        <xdr:cNvSpPr>
          <a:spLocks/>
        </xdr:cNvSpPr>
      </xdr:nvSpPr>
      <xdr:spPr>
        <a:xfrm>
          <a:off x="628650" y="55245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695325</xdr:colOff>
      <xdr:row>29</xdr:row>
      <xdr:rowOff>152400</xdr:rowOff>
    </xdr:from>
    <xdr:to>
      <xdr:col>1</xdr:col>
      <xdr:colOff>142875</xdr:colOff>
      <xdr:row>31</xdr:row>
      <xdr:rowOff>38100</xdr:rowOff>
    </xdr:to>
    <xdr:sp>
      <xdr:nvSpPr>
        <xdr:cNvPr id="26" name="Oval 28"/>
        <xdr:cNvSpPr>
          <a:spLocks/>
        </xdr:cNvSpPr>
      </xdr:nvSpPr>
      <xdr:spPr>
        <a:xfrm>
          <a:off x="695325" y="50673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323850</xdr:colOff>
      <xdr:row>29</xdr:row>
      <xdr:rowOff>142875</xdr:rowOff>
    </xdr:from>
    <xdr:to>
      <xdr:col>0</xdr:col>
      <xdr:colOff>466725</xdr:colOff>
      <xdr:row>31</xdr:row>
      <xdr:rowOff>57150</xdr:rowOff>
    </xdr:to>
    <xdr:sp>
      <xdr:nvSpPr>
        <xdr:cNvPr id="27" name="Polygon 29"/>
        <xdr:cNvSpPr>
          <a:spLocks/>
        </xdr:cNvSpPr>
      </xdr:nvSpPr>
      <xdr:spPr>
        <a:xfrm>
          <a:off x="323850" y="5057775"/>
          <a:ext cx="142875" cy="238125"/>
        </a:xfrm>
        <a:custGeom>
          <a:pathLst>
            <a:path h="25" w="15">
              <a:moveTo>
                <a:pt x="1" y="25"/>
              </a:moveTo>
              <a:lnTo>
                <a:pt x="0" y="1"/>
              </a:lnTo>
              <a:lnTo>
                <a:pt x="13" y="0"/>
              </a:lnTo>
              <a:lnTo>
                <a:pt x="15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30</xdr:row>
      <xdr:rowOff>19050</xdr:rowOff>
    </xdr:from>
    <xdr:to>
      <xdr:col>4</xdr:col>
      <xdr:colOff>609600</xdr:colOff>
      <xdr:row>31</xdr:row>
      <xdr:rowOff>114300</xdr:rowOff>
    </xdr:to>
    <xdr:sp>
      <xdr:nvSpPr>
        <xdr:cNvPr id="28" name="Polygon 32"/>
        <xdr:cNvSpPr>
          <a:spLocks/>
        </xdr:cNvSpPr>
      </xdr:nvSpPr>
      <xdr:spPr>
        <a:xfrm>
          <a:off x="3457575" y="5095875"/>
          <a:ext cx="200025" cy="257175"/>
        </a:xfrm>
        <a:custGeom>
          <a:pathLst>
            <a:path h="27" w="21">
              <a:moveTo>
                <a:pt x="15" y="27"/>
              </a:moveTo>
              <a:lnTo>
                <a:pt x="21" y="3"/>
              </a:lnTo>
              <a:lnTo>
                <a:pt x="7" y="0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57150</xdr:rowOff>
    </xdr:from>
    <xdr:to>
      <xdr:col>5</xdr:col>
      <xdr:colOff>38100</xdr:colOff>
      <xdr:row>31</xdr:row>
      <xdr:rowOff>104775</xdr:rowOff>
    </xdr:to>
    <xdr:sp>
      <xdr:nvSpPr>
        <xdr:cNvPr id="29" name="Oval 33"/>
        <xdr:cNvSpPr>
          <a:spLocks/>
        </xdr:cNvSpPr>
      </xdr:nvSpPr>
      <xdr:spPr>
        <a:xfrm>
          <a:off x="3638550" y="5133975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457200</xdr:colOff>
      <xdr:row>29</xdr:row>
      <xdr:rowOff>142875</xdr:rowOff>
    </xdr:from>
    <xdr:to>
      <xdr:col>2</xdr:col>
      <xdr:colOff>85725</xdr:colOff>
      <xdr:row>29</xdr:row>
      <xdr:rowOff>142875</xdr:rowOff>
    </xdr:to>
    <xdr:sp>
      <xdr:nvSpPr>
        <xdr:cNvPr id="30" name="Line 34"/>
        <xdr:cNvSpPr>
          <a:spLocks/>
        </xdr:cNvSpPr>
      </xdr:nvSpPr>
      <xdr:spPr>
        <a:xfrm>
          <a:off x="457200" y="5057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9525</xdr:rowOff>
    </xdr:from>
    <xdr:to>
      <xdr:col>4</xdr:col>
      <xdr:colOff>495300</xdr:colOff>
      <xdr:row>30</xdr:row>
      <xdr:rowOff>19050</xdr:rowOff>
    </xdr:to>
    <xdr:sp>
      <xdr:nvSpPr>
        <xdr:cNvPr id="31" name="Line 35"/>
        <xdr:cNvSpPr>
          <a:spLocks/>
        </xdr:cNvSpPr>
      </xdr:nvSpPr>
      <xdr:spPr>
        <a:xfrm flipH="1" flipV="1">
          <a:off x="1781175" y="5086350"/>
          <a:ext cx="176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33</xdr:row>
      <xdr:rowOff>85725</xdr:rowOff>
    </xdr:from>
    <xdr:to>
      <xdr:col>3</xdr:col>
      <xdr:colOff>561975</xdr:colOff>
      <xdr:row>34</xdr:row>
      <xdr:rowOff>133350</xdr:rowOff>
    </xdr:to>
    <xdr:sp>
      <xdr:nvSpPr>
        <xdr:cNvPr id="32" name="Oval 36"/>
        <xdr:cNvSpPr>
          <a:spLocks/>
        </xdr:cNvSpPr>
      </xdr:nvSpPr>
      <xdr:spPr>
        <a:xfrm>
          <a:off x="2638425" y="5648325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32</xdr:row>
      <xdr:rowOff>95250</xdr:rowOff>
    </xdr:from>
    <xdr:to>
      <xdr:col>2</xdr:col>
      <xdr:colOff>57150</xdr:colOff>
      <xdr:row>35</xdr:row>
      <xdr:rowOff>76200</xdr:rowOff>
    </xdr:to>
    <xdr:sp>
      <xdr:nvSpPr>
        <xdr:cNvPr id="33" name="Polygon 38"/>
        <xdr:cNvSpPr>
          <a:spLocks/>
        </xdr:cNvSpPr>
      </xdr:nvSpPr>
      <xdr:spPr>
        <a:xfrm>
          <a:off x="1533525" y="5495925"/>
          <a:ext cx="47625" cy="466725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34</xdr:row>
      <xdr:rowOff>47625</xdr:rowOff>
    </xdr:from>
    <xdr:to>
      <xdr:col>1</xdr:col>
      <xdr:colOff>514350</xdr:colOff>
      <xdr:row>35</xdr:row>
      <xdr:rowOff>38100</xdr:rowOff>
    </xdr:to>
    <xdr:sp>
      <xdr:nvSpPr>
        <xdr:cNvPr id="34" name="Rectangle 39"/>
        <xdr:cNvSpPr>
          <a:spLocks/>
        </xdr:cNvSpPr>
      </xdr:nvSpPr>
      <xdr:spPr>
        <a:xfrm>
          <a:off x="485775" y="5772150"/>
          <a:ext cx="7905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BARRICADE</a:t>
          </a:r>
        </a:p>
      </xdr:txBody>
    </xdr:sp>
    <xdr:clientData/>
  </xdr:twoCellAnchor>
  <xdr:twoCellAnchor>
    <xdr:from>
      <xdr:col>1</xdr:col>
      <xdr:colOff>495300</xdr:colOff>
      <xdr:row>34</xdr:row>
      <xdr:rowOff>114300</xdr:rowOff>
    </xdr:from>
    <xdr:to>
      <xdr:col>1</xdr:col>
      <xdr:colOff>742950</xdr:colOff>
      <xdr:row>34</xdr:row>
      <xdr:rowOff>133350</xdr:rowOff>
    </xdr:to>
    <xdr:sp>
      <xdr:nvSpPr>
        <xdr:cNvPr id="35" name="Line 41"/>
        <xdr:cNvSpPr>
          <a:spLocks/>
        </xdr:cNvSpPr>
      </xdr:nvSpPr>
      <xdr:spPr>
        <a:xfrm flipV="1">
          <a:off x="1257300" y="583882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</xdr:row>
      <xdr:rowOff>57150</xdr:rowOff>
    </xdr:from>
    <xdr:to>
      <xdr:col>3</xdr:col>
      <xdr:colOff>514350</xdr:colOff>
      <xdr:row>5</xdr:row>
      <xdr:rowOff>133350</xdr:rowOff>
    </xdr:to>
    <xdr:sp>
      <xdr:nvSpPr>
        <xdr:cNvPr id="36" name="Polygon 43"/>
        <xdr:cNvSpPr>
          <a:spLocks/>
        </xdr:cNvSpPr>
      </xdr:nvSpPr>
      <xdr:spPr>
        <a:xfrm>
          <a:off x="2047875" y="771525"/>
          <a:ext cx="752475" cy="238125"/>
        </a:xfrm>
        <a:custGeom>
          <a:pathLst>
            <a:path h="41" w="115">
              <a:moveTo>
                <a:pt x="0" y="0"/>
              </a:moveTo>
              <a:lnTo>
                <a:pt x="103" y="0"/>
              </a:lnTo>
              <a:lnTo>
                <a:pt x="115" y="41"/>
              </a:lnTo>
              <a:lnTo>
                <a:pt x="13" y="41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133350</xdr:rowOff>
    </xdr:from>
    <xdr:to>
      <xdr:col>5</xdr:col>
      <xdr:colOff>428625</xdr:colOff>
      <xdr:row>7</xdr:row>
      <xdr:rowOff>47625</xdr:rowOff>
    </xdr:to>
    <xdr:sp>
      <xdr:nvSpPr>
        <xdr:cNvPr id="37" name="Polygon 44"/>
        <xdr:cNvSpPr>
          <a:spLocks/>
        </xdr:cNvSpPr>
      </xdr:nvSpPr>
      <xdr:spPr>
        <a:xfrm>
          <a:off x="2752725" y="1009650"/>
          <a:ext cx="1485900" cy="238125"/>
        </a:xfrm>
        <a:custGeom>
          <a:pathLst>
            <a:path h="40" w="225">
              <a:moveTo>
                <a:pt x="0" y="0"/>
              </a:moveTo>
              <a:lnTo>
                <a:pt x="225" y="2"/>
              </a:lnTo>
              <a:lnTo>
                <a:pt x="222" y="40"/>
              </a:lnTo>
              <a:lnTo>
                <a:pt x="12" y="4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142875</xdr:rowOff>
    </xdr:from>
    <xdr:to>
      <xdr:col>2</xdr:col>
      <xdr:colOff>457200</xdr:colOff>
      <xdr:row>7</xdr:row>
      <xdr:rowOff>47625</xdr:rowOff>
    </xdr:to>
    <xdr:sp>
      <xdr:nvSpPr>
        <xdr:cNvPr id="38" name="Polygon 45"/>
        <xdr:cNvSpPr>
          <a:spLocks/>
        </xdr:cNvSpPr>
      </xdr:nvSpPr>
      <xdr:spPr>
        <a:xfrm>
          <a:off x="495300" y="1019175"/>
          <a:ext cx="1485900" cy="228600"/>
        </a:xfrm>
        <a:custGeom>
          <a:pathLst>
            <a:path h="40" w="223">
              <a:moveTo>
                <a:pt x="211" y="0"/>
              </a:moveTo>
              <a:lnTo>
                <a:pt x="0" y="0"/>
              </a:lnTo>
              <a:lnTo>
                <a:pt x="3" y="40"/>
              </a:lnTo>
              <a:lnTo>
                <a:pt x="223" y="39"/>
              </a:lnTo>
              <a:lnTo>
                <a:pt x="211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123825</xdr:rowOff>
    </xdr:from>
    <xdr:to>
      <xdr:col>5</xdr:col>
      <xdr:colOff>428625</xdr:colOff>
      <xdr:row>11</xdr:row>
      <xdr:rowOff>85725</xdr:rowOff>
    </xdr:to>
    <xdr:sp>
      <xdr:nvSpPr>
        <xdr:cNvPr id="39" name="Polygon 58"/>
        <xdr:cNvSpPr>
          <a:spLocks/>
        </xdr:cNvSpPr>
      </xdr:nvSpPr>
      <xdr:spPr>
        <a:xfrm>
          <a:off x="495300" y="514350"/>
          <a:ext cx="3743325" cy="1419225"/>
        </a:xfrm>
        <a:custGeom>
          <a:pathLst>
            <a:path h="242" w="567">
              <a:moveTo>
                <a:pt x="2" y="242"/>
              </a:moveTo>
              <a:lnTo>
                <a:pt x="3" y="125"/>
              </a:lnTo>
              <a:lnTo>
                <a:pt x="226" y="125"/>
              </a:lnTo>
              <a:lnTo>
                <a:pt x="186" y="0"/>
              </a:lnTo>
              <a:lnTo>
                <a:pt x="220" y="2"/>
              </a:lnTo>
              <a:lnTo>
                <a:pt x="249" y="86"/>
              </a:lnTo>
              <a:lnTo>
                <a:pt x="341" y="86"/>
              </a:lnTo>
              <a:lnTo>
                <a:pt x="353" y="125"/>
              </a:lnTo>
              <a:lnTo>
                <a:pt x="565" y="123"/>
              </a:lnTo>
              <a:lnTo>
                <a:pt x="567" y="239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133350</xdr:rowOff>
    </xdr:from>
    <xdr:to>
      <xdr:col>3</xdr:col>
      <xdr:colOff>85725</xdr:colOff>
      <xdr:row>11</xdr:row>
      <xdr:rowOff>66675</xdr:rowOff>
    </xdr:to>
    <xdr:sp>
      <xdr:nvSpPr>
        <xdr:cNvPr id="40" name="Rectangle 59"/>
        <xdr:cNvSpPr>
          <a:spLocks/>
        </xdr:cNvSpPr>
      </xdr:nvSpPr>
      <xdr:spPr>
        <a:xfrm rot="20998754">
          <a:off x="2305050" y="1495425"/>
          <a:ext cx="66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</xdr:row>
      <xdr:rowOff>123825</xdr:rowOff>
    </xdr:from>
    <xdr:to>
      <xdr:col>3</xdr:col>
      <xdr:colOff>409575</xdr:colOff>
      <xdr:row>11</xdr:row>
      <xdr:rowOff>66675</xdr:rowOff>
    </xdr:to>
    <xdr:sp>
      <xdr:nvSpPr>
        <xdr:cNvPr id="41" name="Rectangle 60"/>
        <xdr:cNvSpPr>
          <a:spLocks/>
        </xdr:cNvSpPr>
      </xdr:nvSpPr>
      <xdr:spPr>
        <a:xfrm rot="20998754">
          <a:off x="2628900" y="1485900"/>
          <a:ext cx="66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</xdr:row>
      <xdr:rowOff>104775</xdr:rowOff>
    </xdr:from>
    <xdr:to>
      <xdr:col>3</xdr:col>
      <xdr:colOff>9525</xdr:colOff>
      <xdr:row>8</xdr:row>
      <xdr:rowOff>142875</xdr:rowOff>
    </xdr:to>
    <xdr:sp>
      <xdr:nvSpPr>
        <xdr:cNvPr id="42" name="Rectangle 61"/>
        <xdr:cNvSpPr>
          <a:spLocks/>
        </xdr:cNvSpPr>
      </xdr:nvSpPr>
      <xdr:spPr>
        <a:xfrm rot="20998754">
          <a:off x="2238375" y="1143000"/>
          <a:ext cx="57150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6</xdr:row>
      <xdr:rowOff>104775</xdr:rowOff>
    </xdr:from>
    <xdr:to>
      <xdr:col>3</xdr:col>
      <xdr:colOff>323850</xdr:colOff>
      <xdr:row>8</xdr:row>
      <xdr:rowOff>133350</xdr:rowOff>
    </xdr:to>
    <xdr:sp>
      <xdr:nvSpPr>
        <xdr:cNvPr id="43" name="Rectangle 62"/>
        <xdr:cNvSpPr>
          <a:spLocks/>
        </xdr:cNvSpPr>
      </xdr:nvSpPr>
      <xdr:spPr>
        <a:xfrm rot="20998754">
          <a:off x="2543175" y="1143000"/>
          <a:ext cx="666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8</xdr:row>
      <xdr:rowOff>76200</xdr:rowOff>
    </xdr:from>
    <xdr:to>
      <xdr:col>3</xdr:col>
      <xdr:colOff>685800</xdr:colOff>
      <xdr:row>10</xdr:row>
      <xdr:rowOff>9525</xdr:rowOff>
    </xdr:to>
    <xdr:sp>
      <xdr:nvSpPr>
        <xdr:cNvPr id="44" name="Line 63"/>
        <xdr:cNvSpPr>
          <a:spLocks/>
        </xdr:cNvSpPr>
      </xdr:nvSpPr>
      <xdr:spPr>
        <a:xfrm flipH="1" flipV="1">
          <a:off x="2647950" y="1438275"/>
          <a:ext cx="323850" cy="257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76200</xdr:rowOff>
    </xdr:from>
    <xdr:to>
      <xdr:col>3</xdr:col>
      <xdr:colOff>685800</xdr:colOff>
      <xdr:row>10</xdr:row>
      <xdr:rowOff>19050</xdr:rowOff>
    </xdr:to>
    <xdr:sp>
      <xdr:nvSpPr>
        <xdr:cNvPr id="45" name="Line 64"/>
        <xdr:cNvSpPr>
          <a:spLocks/>
        </xdr:cNvSpPr>
      </xdr:nvSpPr>
      <xdr:spPr>
        <a:xfrm flipH="1" flipV="1">
          <a:off x="2333625" y="1438275"/>
          <a:ext cx="638175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104775</xdr:rowOff>
    </xdr:from>
    <xdr:to>
      <xdr:col>5</xdr:col>
      <xdr:colOff>419100</xdr:colOff>
      <xdr:row>6</xdr:row>
      <xdr:rowOff>114300</xdr:rowOff>
    </xdr:to>
    <xdr:sp>
      <xdr:nvSpPr>
        <xdr:cNvPr id="46" name="Line 65"/>
        <xdr:cNvSpPr>
          <a:spLocks noChangeAspect="1"/>
        </xdr:cNvSpPr>
      </xdr:nvSpPr>
      <xdr:spPr>
        <a:xfrm>
          <a:off x="485775" y="1143000"/>
          <a:ext cx="3743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8</xdr:row>
      <xdr:rowOff>66675</xdr:rowOff>
    </xdr:from>
    <xdr:to>
      <xdr:col>2</xdr:col>
      <xdr:colOff>476250</xdr:colOff>
      <xdr:row>10</xdr:row>
      <xdr:rowOff>123825</xdr:rowOff>
    </xdr:to>
    <xdr:sp>
      <xdr:nvSpPr>
        <xdr:cNvPr id="47" name="Line 66"/>
        <xdr:cNvSpPr>
          <a:spLocks/>
        </xdr:cNvSpPr>
      </xdr:nvSpPr>
      <xdr:spPr>
        <a:xfrm flipV="1">
          <a:off x="1476375" y="1428750"/>
          <a:ext cx="523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8</xdr:row>
      <xdr:rowOff>0</xdr:rowOff>
    </xdr:from>
    <xdr:to>
      <xdr:col>2</xdr:col>
      <xdr:colOff>485775</xdr:colOff>
      <xdr:row>8</xdr:row>
      <xdr:rowOff>0</xdr:rowOff>
    </xdr:to>
    <xdr:sp>
      <xdr:nvSpPr>
        <xdr:cNvPr id="48" name="Line 67"/>
        <xdr:cNvSpPr>
          <a:spLocks/>
        </xdr:cNvSpPr>
      </xdr:nvSpPr>
      <xdr:spPr>
        <a:xfrm>
          <a:off x="1295400" y="1362075"/>
          <a:ext cx="714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</xdr:row>
      <xdr:rowOff>38100</xdr:rowOff>
    </xdr:from>
    <xdr:to>
      <xdr:col>5</xdr:col>
      <xdr:colOff>419100</xdr:colOff>
      <xdr:row>11</xdr:row>
      <xdr:rowOff>66675</xdr:rowOff>
    </xdr:to>
    <xdr:grpSp>
      <xdr:nvGrpSpPr>
        <xdr:cNvPr id="49" name="Group 72"/>
        <xdr:cNvGrpSpPr>
          <a:grpSpLocks/>
        </xdr:cNvGrpSpPr>
      </xdr:nvGrpSpPr>
      <xdr:grpSpPr>
        <a:xfrm>
          <a:off x="485775" y="590550"/>
          <a:ext cx="3743325" cy="1323975"/>
          <a:chOff x="51" y="62"/>
          <a:chExt cx="393" cy="139"/>
        </a:xfrm>
        <a:solidFill>
          <a:srgbClr val="FFFFFF"/>
        </a:solidFill>
      </xdr:grpSpPr>
      <xdr:sp>
        <xdr:nvSpPr>
          <xdr:cNvPr id="50" name="Line 47"/>
          <xdr:cNvSpPr>
            <a:spLocks noChangeAspect="1"/>
          </xdr:cNvSpPr>
        </xdr:nvSpPr>
        <xdr:spPr>
          <a:xfrm flipH="1">
            <a:off x="214" y="69"/>
            <a:ext cx="3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48"/>
          <xdr:cNvSpPr>
            <a:spLocks noChangeAspect="1"/>
          </xdr:cNvSpPr>
        </xdr:nvSpPr>
        <xdr:spPr>
          <a:xfrm>
            <a:off x="254" y="62"/>
            <a:ext cx="10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52" name="Line 49"/>
          <xdr:cNvSpPr>
            <a:spLocks noChangeAspect="1"/>
          </xdr:cNvSpPr>
        </xdr:nvSpPr>
        <xdr:spPr>
          <a:xfrm>
            <a:off x="51" y="155"/>
            <a:ext cx="39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0"/>
          <xdr:cNvSpPr>
            <a:spLocks noChangeAspect="1"/>
          </xdr:cNvSpPr>
        </xdr:nvSpPr>
        <xdr:spPr>
          <a:xfrm>
            <a:off x="371" y="173"/>
            <a:ext cx="6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REMBLAI</a:t>
            </a:r>
          </a:p>
        </xdr:txBody>
      </xdr:sp>
      <xdr:sp>
        <xdr:nvSpPr>
          <xdr:cNvPr id="54" name="Oval 51"/>
          <xdr:cNvSpPr>
            <a:spLocks noChangeAspect="1"/>
          </xdr:cNvSpPr>
        </xdr:nvSpPr>
        <xdr:spPr>
          <a:xfrm>
            <a:off x="88" y="107"/>
            <a:ext cx="28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5" name="Oval 52"/>
          <xdr:cNvSpPr>
            <a:spLocks noChangeAspect="1"/>
          </xdr:cNvSpPr>
        </xdr:nvSpPr>
        <xdr:spPr>
          <a:xfrm>
            <a:off x="222" y="79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6" name="Oval 53"/>
          <xdr:cNvSpPr>
            <a:spLocks noChangeAspect="1"/>
          </xdr:cNvSpPr>
        </xdr:nvSpPr>
        <xdr:spPr>
          <a:xfrm>
            <a:off x="327" y="104"/>
            <a:ext cx="29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7" name="Oval 54"/>
          <xdr:cNvSpPr>
            <a:spLocks noChangeAspect="1"/>
          </xdr:cNvSpPr>
        </xdr:nvSpPr>
        <xdr:spPr>
          <a:xfrm>
            <a:off x="114" y="134"/>
            <a:ext cx="24" cy="2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8" name="Oval 55"/>
          <xdr:cNvSpPr>
            <a:spLocks noChangeAspect="1"/>
          </xdr:cNvSpPr>
        </xdr:nvSpPr>
        <xdr:spPr>
          <a:xfrm>
            <a:off x="311" y="161"/>
            <a:ext cx="58" cy="2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 &amp; 6
</a:t>
            </a:r>
          </a:p>
        </xdr:txBody>
      </xdr:sp>
      <xdr:sp>
        <xdr:nvSpPr>
          <xdr:cNvPr id="59" name="Polygon 56"/>
          <xdr:cNvSpPr>
            <a:spLocks noChangeAspect="1"/>
          </xdr:cNvSpPr>
        </xdr:nvSpPr>
        <xdr:spPr>
          <a:xfrm>
            <a:off x="211" y="119"/>
            <a:ext cx="4" cy="36"/>
          </a:xfrm>
          <a:custGeom>
            <a:pathLst>
              <a:path h="49" w="5">
                <a:moveTo>
                  <a:pt x="0" y="49"/>
                </a:moveTo>
                <a:lnTo>
                  <a:pt x="0" y="0"/>
                </a:lnTo>
                <a:lnTo>
                  <a:pt x="5" y="0"/>
                </a:lnTo>
                <a:lnTo>
                  <a:pt x="5" y="49"/>
                </a:lnTo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57"/>
          <xdr:cNvSpPr>
            <a:spLocks noChangeAspect="1"/>
          </xdr:cNvSpPr>
        </xdr:nvSpPr>
        <xdr:spPr>
          <a:xfrm>
            <a:off x="88" y="183"/>
            <a:ext cx="8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BARRICADE</a:t>
            </a:r>
          </a:p>
        </xdr:txBody>
      </xdr:sp>
    </xdr:grpSp>
    <xdr:clientData/>
  </xdr:twoCellAnchor>
  <xdr:twoCellAnchor>
    <xdr:from>
      <xdr:col>4</xdr:col>
      <xdr:colOff>609600</xdr:colOff>
      <xdr:row>3</xdr:row>
      <xdr:rowOff>19050</xdr:rowOff>
    </xdr:from>
    <xdr:to>
      <xdr:col>5</xdr:col>
      <xdr:colOff>361950</xdr:colOff>
      <xdr:row>4</xdr:row>
      <xdr:rowOff>47625</xdr:rowOff>
    </xdr:to>
    <xdr:sp>
      <xdr:nvSpPr>
        <xdr:cNvPr id="61" name="Rectangle 70"/>
        <xdr:cNvSpPr>
          <a:spLocks/>
        </xdr:cNvSpPr>
      </xdr:nvSpPr>
      <xdr:spPr>
        <a:xfrm>
          <a:off x="3657600" y="5715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B</a:t>
          </a:r>
        </a:p>
      </xdr:txBody>
    </xdr:sp>
    <xdr:clientData/>
  </xdr:twoCellAnchor>
  <xdr:twoCellAnchor>
    <xdr:from>
      <xdr:col>0</xdr:col>
      <xdr:colOff>552450</xdr:colOff>
      <xdr:row>3</xdr:row>
      <xdr:rowOff>47625</xdr:rowOff>
    </xdr:from>
    <xdr:to>
      <xdr:col>1</xdr:col>
      <xdr:colOff>304800</xdr:colOff>
      <xdr:row>4</xdr:row>
      <xdr:rowOff>76200</xdr:rowOff>
    </xdr:to>
    <xdr:sp>
      <xdr:nvSpPr>
        <xdr:cNvPr id="62" name="Rectangle 71"/>
        <xdr:cNvSpPr>
          <a:spLocks/>
        </xdr:cNvSpPr>
      </xdr:nvSpPr>
      <xdr:spPr>
        <a:xfrm>
          <a:off x="552450" y="6000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partie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25.8515625" style="0" customWidth="1"/>
    <col min="2" max="2" width="17.28125" style="0" customWidth="1"/>
    <col min="3" max="3" width="14.8515625" style="0" customWidth="1"/>
    <col min="4" max="4" width="12.57421875" style="0" customWidth="1"/>
    <col min="5" max="5" width="14.7109375" style="0" customWidth="1"/>
    <col min="6" max="6" width="15.7109375" style="0" customWidth="1"/>
    <col min="7" max="7" width="13.140625" style="0" customWidth="1"/>
    <col min="8" max="8" width="17.140625" style="0" customWidth="1"/>
    <col min="9" max="9" width="12.140625" style="0" customWidth="1"/>
    <col min="10" max="10" width="11.140625" style="0" customWidth="1"/>
    <col min="11" max="11" width="13.28125" style="0" customWidth="1"/>
    <col min="12" max="12" width="14.140625" style="0" customWidth="1"/>
    <col min="13" max="16384" width="11.421875" style="0" customWidth="1"/>
  </cols>
  <sheetData>
    <row r="2" ht="36.75">
      <c r="A2" s="12" t="s">
        <v>144</v>
      </c>
    </row>
    <row r="3" spans="1:2" ht="31.5" customHeight="1">
      <c r="A3" s="12" t="s">
        <v>300</v>
      </c>
      <c r="B3" s="12"/>
    </row>
    <row r="4" spans="1:11" ht="23.25" customHeight="1" thickBot="1">
      <c r="A4" s="12"/>
      <c r="B4" s="12"/>
      <c r="I4" s="278"/>
      <c r="J4" s="317" t="s">
        <v>341</v>
      </c>
      <c r="K4" s="278"/>
    </row>
    <row r="5" spans="1:11" ht="13.5" thickTop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2" ht="22.5" customHeight="1">
      <c r="A8" s="82" t="s">
        <v>80</v>
      </c>
      <c r="B8" s="83"/>
    </row>
    <row r="9" spans="1:2" ht="9.75" customHeight="1" thickBot="1">
      <c r="A9" s="83"/>
      <c r="B9" s="83"/>
    </row>
    <row r="10" spans="1:11" ht="18" customHeight="1">
      <c r="A10" s="83"/>
      <c r="B10" s="83"/>
      <c r="C10" s="426" t="s">
        <v>297</v>
      </c>
      <c r="D10" s="422" t="s">
        <v>127</v>
      </c>
      <c r="E10" s="424" t="s">
        <v>85</v>
      </c>
      <c r="H10" s="435" t="s">
        <v>29</v>
      </c>
      <c r="I10" s="436"/>
      <c r="J10" s="436"/>
      <c r="K10" s="437"/>
    </row>
    <row r="11" spans="1:11" ht="11.25" customHeight="1" thickBot="1">
      <c r="A11" s="83"/>
      <c r="B11" s="83"/>
      <c r="C11" s="427"/>
      <c r="D11" s="423"/>
      <c r="E11" s="425"/>
      <c r="H11" s="438"/>
      <c r="I11" s="439"/>
      <c r="J11" s="439"/>
      <c r="K11" s="440"/>
    </row>
    <row r="12" spans="1:11" ht="12.75" customHeight="1">
      <c r="A12" s="84" t="s">
        <v>76</v>
      </c>
      <c r="B12" s="84"/>
      <c r="C12" s="250">
        <v>2</v>
      </c>
      <c r="D12" s="250">
        <v>10</v>
      </c>
      <c r="E12" s="85">
        <f>+D12*C12</f>
        <v>20</v>
      </c>
      <c r="H12" s="86"/>
      <c r="I12" s="87"/>
      <c r="J12" s="87"/>
      <c r="K12" s="88"/>
    </row>
    <row r="13" spans="1:11" ht="12.75" customHeight="1">
      <c r="A13" s="84" t="s">
        <v>121</v>
      </c>
      <c r="B13" s="84"/>
      <c r="C13" s="250">
        <v>2</v>
      </c>
      <c r="D13" s="250">
        <v>5</v>
      </c>
      <c r="E13" s="85">
        <f>+D13*C13</f>
        <v>10</v>
      </c>
      <c r="H13" s="89"/>
      <c r="I13" s="90"/>
      <c r="J13" s="90"/>
      <c r="K13" s="91"/>
    </row>
    <row r="14" spans="1:11" ht="12.75" customHeight="1">
      <c r="A14" s="84" t="s">
        <v>122</v>
      </c>
      <c r="B14" s="84"/>
      <c r="C14" s="250"/>
      <c r="D14" s="250"/>
      <c r="E14" s="85">
        <f aca="true" t="shared" si="0" ref="E14:E20">+D14*C14</f>
        <v>0</v>
      </c>
      <c r="F14" s="16"/>
      <c r="H14" s="89"/>
      <c r="I14" s="90"/>
      <c r="J14" s="90"/>
      <c r="K14" s="91"/>
    </row>
    <row r="15" spans="1:11" ht="12.75" customHeight="1">
      <c r="A15" s="84" t="s">
        <v>77</v>
      </c>
      <c r="B15" s="84"/>
      <c r="C15" s="250">
        <v>4</v>
      </c>
      <c r="D15" s="250">
        <v>10</v>
      </c>
      <c r="E15" s="85">
        <f t="shared" si="0"/>
        <v>40</v>
      </c>
      <c r="H15" s="89"/>
      <c r="I15" s="90"/>
      <c r="J15" s="90"/>
      <c r="K15" s="91"/>
    </row>
    <row r="16" spans="1:11" ht="12.75" customHeight="1">
      <c r="A16" s="84" t="s">
        <v>78</v>
      </c>
      <c r="B16" s="84"/>
      <c r="C16" s="250">
        <v>1</v>
      </c>
      <c r="D16" s="250">
        <v>15</v>
      </c>
      <c r="E16" s="85">
        <f t="shared" si="0"/>
        <v>15</v>
      </c>
      <c r="H16" s="89"/>
      <c r="I16" s="90"/>
      <c r="J16" s="90"/>
      <c r="K16" s="91"/>
    </row>
    <row r="17" spans="1:11" ht="12.75" customHeight="1">
      <c r="A17" s="84" t="s">
        <v>79</v>
      </c>
      <c r="B17" s="84"/>
      <c r="C17" s="250">
        <v>1</v>
      </c>
      <c r="D17" s="250">
        <v>10</v>
      </c>
      <c r="E17" s="85">
        <f t="shared" si="0"/>
        <v>10</v>
      </c>
      <c r="H17" s="89"/>
      <c r="I17" s="90"/>
      <c r="J17" s="90"/>
      <c r="K17" s="91"/>
    </row>
    <row r="18" spans="1:11" ht="12.75" customHeight="1">
      <c r="A18" s="84" t="s">
        <v>123</v>
      </c>
      <c r="B18" s="84"/>
      <c r="C18" s="250">
        <v>1</v>
      </c>
      <c r="D18" s="250">
        <v>12</v>
      </c>
      <c r="E18" s="85">
        <f t="shared" si="0"/>
        <v>12</v>
      </c>
      <c r="H18" s="89"/>
      <c r="I18" s="90"/>
      <c r="J18" s="90"/>
      <c r="K18" s="91"/>
    </row>
    <row r="19" spans="1:11" ht="12.75" customHeight="1">
      <c r="A19" s="84" t="s">
        <v>10</v>
      </c>
      <c r="B19" s="84"/>
      <c r="C19" s="250">
        <v>1</v>
      </c>
      <c r="D19" s="250">
        <v>30</v>
      </c>
      <c r="E19" s="85">
        <f t="shared" si="0"/>
        <v>30</v>
      </c>
      <c r="H19" s="89"/>
      <c r="I19" s="90"/>
      <c r="J19" s="90"/>
      <c r="K19" s="91"/>
    </row>
    <row r="20" spans="1:11" ht="12.75" customHeight="1" thickBot="1">
      <c r="A20" s="269"/>
      <c r="B20" s="257"/>
      <c r="C20" s="250"/>
      <c r="D20" s="250"/>
      <c r="E20" s="92">
        <f t="shared" si="0"/>
        <v>0</v>
      </c>
      <c r="H20" s="89"/>
      <c r="I20" s="90"/>
      <c r="J20" s="90"/>
      <c r="K20" s="91"/>
    </row>
    <row r="21" spans="1:11" ht="15.75" thickBot="1">
      <c r="A21" s="93"/>
      <c r="B21" s="93"/>
      <c r="C21" s="93"/>
      <c r="D21" s="93"/>
      <c r="E21" s="94">
        <f>SUM(E12:E20)</f>
        <v>137</v>
      </c>
      <c r="F21" s="61" t="s">
        <v>64</v>
      </c>
      <c r="H21" s="95"/>
      <c r="I21" s="96"/>
      <c r="J21" s="96"/>
      <c r="K21" s="97"/>
    </row>
    <row r="22" spans="1:6" ht="14.25">
      <c r="A22" s="93"/>
      <c r="B22" s="93"/>
      <c r="C22" s="93"/>
      <c r="D22" s="93"/>
      <c r="E22" s="98">
        <f>+E21/60</f>
        <v>2.283333333333333</v>
      </c>
      <c r="F22" s="61" t="s">
        <v>21</v>
      </c>
    </row>
    <row r="23" spans="1:5" ht="14.25">
      <c r="A23" s="93"/>
      <c r="B23" s="93"/>
      <c r="C23" s="93"/>
      <c r="D23" s="93"/>
      <c r="E23" s="93"/>
    </row>
    <row r="24" spans="1:11" ht="15" thickBot="1">
      <c r="A24" s="99"/>
      <c r="B24" s="99"/>
      <c r="C24" s="99"/>
      <c r="D24" s="99"/>
      <c r="E24" s="99"/>
      <c r="F24" s="38"/>
      <c r="G24" s="38"/>
      <c r="H24" s="38"/>
      <c r="I24" s="38"/>
      <c r="J24" s="38"/>
      <c r="K24" s="38"/>
    </row>
    <row r="25" spans="1:4" ht="12.75">
      <c r="A25" s="2"/>
      <c r="B25" s="2"/>
      <c r="C25" s="2"/>
      <c r="D25" s="2"/>
    </row>
    <row r="26" spans="1:5" ht="23.25">
      <c r="A26" s="82" t="s">
        <v>193</v>
      </c>
      <c r="B26" s="83"/>
      <c r="C26" s="2"/>
      <c r="D26" s="2"/>
      <c r="E26" s="2"/>
    </row>
    <row r="27" spans="1:5" ht="21" thickBot="1">
      <c r="A27" s="83"/>
      <c r="B27" s="83"/>
      <c r="C27" s="2"/>
      <c r="D27" s="2"/>
      <c r="E27" s="2"/>
    </row>
    <row r="28" spans="1:11" ht="21" customHeight="1">
      <c r="A28" s="103" t="s">
        <v>31</v>
      </c>
      <c r="C28" s="426" t="s">
        <v>297</v>
      </c>
      <c r="D28" s="422" t="s">
        <v>131</v>
      </c>
      <c r="E28" s="424" t="s">
        <v>85</v>
      </c>
      <c r="G28" s="281" t="s">
        <v>202</v>
      </c>
      <c r="H28" s="83"/>
      <c r="I28" s="426" t="s">
        <v>297</v>
      </c>
      <c r="J28" s="422" t="s">
        <v>134</v>
      </c>
      <c r="K28" s="424" t="s">
        <v>85</v>
      </c>
    </row>
    <row r="29" spans="1:11" ht="18.75" thickBot="1">
      <c r="A29" s="103" t="s">
        <v>32</v>
      </c>
      <c r="C29" s="427"/>
      <c r="D29" s="423"/>
      <c r="E29" s="425"/>
      <c r="G29" s="281" t="s">
        <v>22</v>
      </c>
      <c r="H29" s="100"/>
      <c r="I29" s="427"/>
      <c r="J29" s="423"/>
      <c r="K29" s="425"/>
    </row>
    <row r="30" spans="1:12" ht="14.25">
      <c r="A30" s="84" t="s">
        <v>302</v>
      </c>
      <c r="B30" s="61"/>
      <c r="C30" s="250">
        <v>1</v>
      </c>
      <c r="D30" s="250">
        <v>15</v>
      </c>
      <c r="E30" s="85">
        <f>+D30*C30</f>
        <v>15</v>
      </c>
      <c r="F30" s="61"/>
      <c r="G30" s="282" t="s">
        <v>124</v>
      </c>
      <c r="H30" s="84"/>
      <c r="I30" s="250">
        <v>1</v>
      </c>
      <c r="J30" s="250">
        <v>5</v>
      </c>
      <c r="K30" s="85">
        <f aca="true" t="shared" si="1" ref="K30:K36">+J30*I30</f>
        <v>5</v>
      </c>
      <c r="L30" s="61"/>
    </row>
    <row r="31" spans="1:12" ht="14.25">
      <c r="A31" s="84" t="s">
        <v>129</v>
      </c>
      <c r="B31" s="61"/>
      <c r="C31" s="250"/>
      <c r="D31" s="250"/>
      <c r="E31" s="85">
        <f>+D31*C31</f>
        <v>0</v>
      </c>
      <c r="F31" s="61"/>
      <c r="G31" s="282" t="s">
        <v>125</v>
      </c>
      <c r="H31" s="84"/>
      <c r="I31" s="250">
        <v>1</v>
      </c>
      <c r="J31" s="250">
        <v>6</v>
      </c>
      <c r="K31" s="85">
        <f t="shared" si="1"/>
        <v>6</v>
      </c>
      <c r="L31" s="61"/>
    </row>
    <row r="32" spans="1:12" ht="14.25">
      <c r="A32" s="84" t="s">
        <v>91</v>
      </c>
      <c r="C32" s="250">
        <v>1</v>
      </c>
      <c r="D32" s="250">
        <v>5</v>
      </c>
      <c r="E32" s="85">
        <f>+D32*C32</f>
        <v>5</v>
      </c>
      <c r="F32" s="61"/>
      <c r="G32" s="282" t="s">
        <v>306</v>
      </c>
      <c r="H32" s="84"/>
      <c r="I32" s="250">
        <v>1</v>
      </c>
      <c r="J32" s="250">
        <v>5</v>
      </c>
      <c r="K32" s="85">
        <f t="shared" si="1"/>
        <v>5</v>
      </c>
      <c r="L32" s="61"/>
    </row>
    <row r="33" spans="1:11" ht="15" thickBot="1">
      <c r="A33" s="261"/>
      <c r="B33" s="262"/>
      <c r="C33" s="250"/>
      <c r="D33" s="250"/>
      <c r="E33" s="85">
        <f>+D33*C33</f>
        <v>0</v>
      </c>
      <c r="F33" s="61"/>
      <c r="G33" s="282" t="s">
        <v>126</v>
      </c>
      <c r="H33" s="84"/>
      <c r="I33" s="250"/>
      <c r="J33" s="250"/>
      <c r="K33" s="85">
        <f t="shared" si="1"/>
        <v>0</v>
      </c>
    </row>
    <row r="34" spans="2:11" ht="15" thickBot="1">
      <c r="B34" s="61"/>
      <c r="C34" s="93"/>
      <c r="D34" s="102" t="s">
        <v>130</v>
      </c>
      <c r="E34" s="94">
        <f>SUM(E30:E33)</f>
        <v>20</v>
      </c>
      <c r="F34" s="61"/>
      <c r="G34" s="282" t="s">
        <v>305</v>
      </c>
      <c r="H34" s="84"/>
      <c r="I34" s="250">
        <v>1</v>
      </c>
      <c r="J34" s="250">
        <v>10</v>
      </c>
      <c r="K34" s="85">
        <f t="shared" si="1"/>
        <v>10</v>
      </c>
    </row>
    <row r="35" spans="1:11" ht="14.25">
      <c r="A35" s="61"/>
      <c r="B35" s="61"/>
      <c r="C35" s="61"/>
      <c r="D35" s="102" t="s">
        <v>84</v>
      </c>
      <c r="E35" s="98">
        <f>+E34/60</f>
        <v>0.3333333333333333</v>
      </c>
      <c r="F35" s="61"/>
      <c r="G35" s="282" t="s">
        <v>81</v>
      </c>
      <c r="H35" s="84"/>
      <c r="I35" s="250">
        <v>1</v>
      </c>
      <c r="J35" s="250">
        <v>8</v>
      </c>
      <c r="K35" s="85">
        <f t="shared" si="1"/>
        <v>8</v>
      </c>
    </row>
    <row r="36" spans="6:11" ht="15.75" customHeight="1" thickBot="1">
      <c r="F36" s="61"/>
      <c r="G36" s="282" t="s">
        <v>82</v>
      </c>
      <c r="H36" s="84"/>
      <c r="I36" s="250">
        <v>1</v>
      </c>
      <c r="J36" s="250">
        <v>5</v>
      </c>
      <c r="K36" s="85">
        <f t="shared" si="1"/>
        <v>5</v>
      </c>
    </row>
    <row r="37" spans="3:11" ht="14.25" customHeight="1">
      <c r="C37" s="426" t="s">
        <v>297</v>
      </c>
      <c r="D37" s="422" t="s">
        <v>131</v>
      </c>
      <c r="E37" s="424" t="s">
        <v>85</v>
      </c>
      <c r="F37" s="61"/>
      <c r="G37" s="282" t="s">
        <v>120</v>
      </c>
      <c r="H37" s="84"/>
      <c r="I37" s="250">
        <v>1</v>
      </c>
      <c r="J37" s="250">
        <v>5</v>
      </c>
      <c r="K37" s="85">
        <f>+J37*I37</f>
        <v>5</v>
      </c>
    </row>
    <row r="38" spans="1:12" ht="18.75" thickBot="1">
      <c r="A38" s="101" t="s">
        <v>30</v>
      </c>
      <c r="B38" s="2"/>
      <c r="C38" s="427"/>
      <c r="D38" s="423"/>
      <c r="E38" s="425"/>
      <c r="G38" s="282" t="s">
        <v>132</v>
      </c>
      <c r="H38" s="84"/>
      <c r="I38" s="250">
        <v>1</v>
      </c>
      <c r="J38" s="250">
        <v>15</v>
      </c>
      <c r="K38" s="85">
        <f>+J38*I38</f>
        <v>15</v>
      </c>
      <c r="L38" s="61"/>
    </row>
    <row r="39" spans="1:12" ht="14.25">
      <c r="A39" s="84" t="s">
        <v>303</v>
      </c>
      <c r="B39" s="61"/>
      <c r="C39" s="250">
        <v>1</v>
      </c>
      <c r="D39" s="250">
        <v>5</v>
      </c>
      <c r="E39" s="85">
        <f>+D39*C39</f>
        <v>5</v>
      </c>
      <c r="F39" s="61"/>
      <c r="G39" s="283"/>
      <c r="H39" s="257"/>
      <c r="I39" s="250"/>
      <c r="J39" s="250"/>
      <c r="K39" s="85">
        <f>+J39*I39</f>
        <v>0</v>
      </c>
      <c r="L39" s="61"/>
    </row>
    <row r="40" spans="1:12" ht="15" thickBot="1">
      <c r="A40" s="84" t="s">
        <v>304</v>
      </c>
      <c r="B40" s="61"/>
      <c r="C40" s="250">
        <v>1</v>
      </c>
      <c r="D40" s="250">
        <v>5</v>
      </c>
      <c r="E40" s="85">
        <f>+D40*C40</f>
        <v>5</v>
      </c>
      <c r="F40" s="61"/>
      <c r="G40" s="283"/>
      <c r="H40" s="257"/>
      <c r="I40" s="250"/>
      <c r="J40" s="250"/>
      <c r="K40" s="85">
        <f>+J40*I40</f>
        <v>0</v>
      </c>
      <c r="L40" s="61"/>
    </row>
    <row r="41" spans="1:11" ht="15" thickBot="1">
      <c r="A41" s="261"/>
      <c r="B41" s="262"/>
      <c r="C41" s="250"/>
      <c r="D41" s="250"/>
      <c r="E41" s="85">
        <f>+D41*C41</f>
        <v>0</v>
      </c>
      <c r="G41" s="104"/>
      <c r="H41" s="104"/>
      <c r="I41" s="93"/>
      <c r="J41" s="102" t="s">
        <v>133</v>
      </c>
      <c r="K41" s="94">
        <f>SUM(K30:K40)</f>
        <v>59</v>
      </c>
    </row>
    <row r="42" spans="1:11" ht="15" thickBot="1">
      <c r="A42" s="61"/>
      <c r="B42" s="61"/>
      <c r="C42" s="61"/>
      <c r="D42" s="102" t="s">
        <v>130</v>
      </c>
      <c r="E42" s="94">
        <f>SUM(E39:E41)</f>
        <v>10</v>
      </c>
      <c r="G42" s="104"/>
      <c r="H42" s="104"/>
      <c r="I42" s="93"/>
      <c r="J42" s="102" t="s">
        <v>83</v>
      </c>
      <c r="K42" s="98">
        <f>+K41/60</f>
        <v>0.9833333333333333</v>
      </c>
    </row>
    <row r="43" spans="1:5" ht="14.25">
      <c r="A43" s="61"/>
      <c r="B43" s="61"/>
      <c r="C43" s="61"/>
      <c r="D43" s="102" t="s">
        <v>84</v>
      </c>
      <c r="E43" s="98">
        <f>+E42/60</f>
        <v>0.16666666666666666</v>
      </c>
    </row>
    <row r="44" spans="7:10" ht="14.25">
      <c r="G44" s="61"/>
      <c r="H44" s="61"/>
      <c r="I44" s="61"/>
      <c r="J44" s="102"/>
    </row>
    <row r="45" spans="1:10" ht="23.25">
      <c r="A45" s="82" t="s">
        <v>136</v>
      </c>
      <c r="G45" s="61"/>
      <c r="H45" s="61"/>
      <c r="I45" s="61"/>
      <c r="J45" s="102"/>
    </row>
    <row r="47" ht="18.75" thickBot="1">
      <c r="A47" s="105" t="s">
        <v>56</v>
      </c>
    </row>
    <row r="48" spans="1:11" ht="18" customHeight="1">
      <c r="A48" s="105" t="s">
        <v>92</v>
      </c>
      <c r="C48" s="426" t="s">
        <v>297</v>
      </c>
      <c r="D48" s="422" t="s">
        <v>131</v>
      </c>
      <c r="E48" s="424" t="s">
        <v>85</v>
      </c>
      <c r="G48" s="103" t="s">
        <v>203</v>
      </c>
      <c r="I48" s="426" t="s">
        <v>297</v>
      </c>
      <c r="J48" s="422" t="s">
        <v>135</v>
      </c>
      <c r="K48" s="424" t="s">
        <v>85</v>
      </c>
    </row>
    <row r="49" spans="1:11" ht="18.75" thickBot="1">
      <c r="A49" s="106"/>
      <c r="B49" s="107"/>
      <c r="C49" s="427"/>
      <c r="D49" s="423"/>
      <c r="E49" s="425"/>
      <c r="G49" s="103" t="s">
        <v>204</v>
      </c>
      <c r="I49" s="427"/>
      <c r="J49" s="423"/>
      <c r="K49" s="425"/>
    </row>
    <row r="50" spans="1:12" ht="12.75" customHeight="1">
      <c r="A50" s="84" t="s">
        <v>86</v>
      </c>
      <c r="C50" s="250">
        <v>2</v>
      </c>
      <c r="D50" s="250">
        <v>30</v>
      </c>
      <c r="E50" s="85">
        <f aca="true" t="shared" si="2" ref="E50:E59">+D50*C50</f>
        <v>60</v>
      </c>
      <c r="F50" s="61"/>
      <c r="G50" s="342" t="s">
        <v>138</v>
      </c>
      <c r="H50" s="343"/>
      <c r="I50" s="259">
        <v>2</v>
      </c>
      <c r="J50" s="250">
        <v>20</v>
      </c>
      <c r="K50" s="85">
        <f>+J50*I50</f>
        <v>40</v>
      </c>
      <c r="L50" s="61"/>
    </row>
    <row r="51" spans="1:12" ht="14.25">
      <c r="A51" s="84" t="s">
        <v>87</v>
      </c>
      <c r="C51" s="250">
        <v>3</v>
      </c>
      <c r="D51" s="250">
        <f>6*60</f>
        <v>360</v>
      </c>
      <c r="E51" s="85">
        <f t="shared" si="2"/>
        <v>1080</v>
      </c>
      <c r="F51" s="61"/>
      <c r="G51" s="342" t="s">
        <v>139</v>
      </c>
      <c r="H51" s="343"/>
      <c r="I51" s="259">
        <v>2</v>
      </c>
      <c r="J51" s="250">
        <v>30</v>
      </c>
      <c r="K51" s="85">
        <f>+J51*I51</f>
        <v>60</v>
      </c>
      <c r="L51" s="61"/>
    </row>
    <row r="52" spans="1:12" ht="14.25">
      <c r="A52" s="84" t="s">
        <v>93</v>
      </c>
      <c r="C52" s="250">
        <v>3</v>
      </c>
      <c r="D52" s="250">
        <f>6*60</f>
        <v>360</v>
      </c>
      <c r="E52" s="85">
        <f t="shared" si="2"/>
        <v>1080</v>
      </c>
      <c r="F52" s="61"/>
      <c r="G52" s="342" t="s">
        <v>140</v>
      </c>
      <c r="H52" s="343"/>
      <c r="I52" s="260">
        <v>1</v>
      </c>
      <c r="J52" s="250">
        <v>30</v>
      </c>
      <c r="K52" s="85">
        <f>+J52*I52</f>
        <v>30</v>
      </c>
      <c r="L52" s="61"/>
    </row>
    <row r="53" spans="1:12" ht="14.25">
      <c r="A53" s="84" t="s">
        <v>310</v>
      </c>
      <c r="C53" s="250">
        <v>3</v>
      </c>
      <c r="D53" s="250">
        <f>6*60</f>
        <v>360</v>
      </c>
      <c r="E53" s="85">
        <f t="shared" si="2"/>
        <v>1080</v>
      </c>
      <c r="F53" s="61"/>
      <c r="G53" s="344" t="s">
        <v>141</v>
      </c>
      <c r="H53" s="345"/>
      <c r="I53" s="250">
        <v>2</v>
      </c>
      <c r="J53" s="250">
        <v>20</v>
      </c>
      <c r="K53" s="85">
        <f>+J53</f>
        <v>20</v>
      </c>
      <c r="L53" s="61"/>
    </row>
    <row r="54" spans="1:11" ht="14.25">
      <c r="A54" s="84" t="s">
        <v>137</v>
      </c>
      <c r="C54" s="250">
        <v>2</v>
      </c>
      <c r="D54" s="250">
        <f>5*60</f>
        <v>300</v>
      </c>
      <c r="E54" s="85">
        <f t="shared" si="2"/>
        <v>600</v>
      </c>
      <c r="F54" s="61"/>
      <c r="G54" s="420"/>
      <c r="H54" s="421"/>
      <c r="I54" s="250"/>
      <c r="J54" s="250"/>
      <c r="K54" s="92">
        <f>+J54*I54</f>
        <v>0</v>
      </c>
    </row>
    <row r="55" spans="1:11" ht="15" thickBot="1">
      <c r="A55" s="84" t="s">
        <v>112</v>
      </c>
      <c r="C55" s="250">
        <v>2</v>
      </c>
      <c r="D55" s="250">
        <f>60*3</f>
        <v>180</v>
      </c>
      <c r="E55" s="85">
        <f t="shared" si="2"/>
        <v>360</v>
      </c>
      <c r="F55" s="61"/>
      <c r="G55" s="420"/>
      <c r="H55" s="421"/>
      <c r="I55" s="258"/>
      <c r="J55" s="250"/>
      <c r="K55" s="92">
        <f>+J55*I55</f>
        <v>0</v>
      </c>
    </row>
    <row r="56" spans="1:11" ht="15" thickBot="1">
      <c r="A56" s="84" t="s">
        <v>242</v>
      </c>
      <c r="C56" s="250">
        <v>2</v>
      </c>
      <c r="D56" s="250">
        <v>20</v>
      </c>
      <c r="E56" s="85">
        <f t="shared" si="2"/>
        <v>40</v>
      </c>
      <c r="G56" s="61"/>
      <c r="H56" s="61"/>
      <c r="I56" s="61"/>
      <c r="J56" s="102" t="s">
        <v>64</v>
      </c>
      <c r="K56" s="94">
        <f>SUM(K50:K55)</f>
        <v>150</v>
      </c>
    </row>
    <row r="57" spans="1:11" ht="14.25">
      <c r="A57" s="84" t="s">
        <v>322</v>
      </c>
      <c r="C57" s="250">
        <v>6</v>
      </c>
      <c r="D57" s="250">
        <v>7</v>
      </c>
      <c r="E57" s="85">
        <f t="shared" si="2"/>
        <v>42</v>
      </c>
      <c r="G57" s="61"/>
      <c r="H57" s="61"/>
      <c r="I57" s="61"/>
      <c r="J57" s="102" t="s">
        <v>20</v>
      </c>
      <c r="K57" s="108">
        <f>+K56/60</f>
        <v>2.5</v>
      </c>
    </row>
    <row r="58" spans="1:5" ht="14.25">
      <c r="A58" s="84" t="s">
        <v>323</v>
      </c>
      <c r="C58" s="250">
        <v>6</v>
      </c>
      <c r="D58" s="250">
        <v>12</v>
      </c>
      <c r="E58" s="85">
        <f t="shared" si="2"/>
        <v>72</v>
      </c>
    </row>
    <row r="59" spans="1:5" ht="14.25">
      <c r="A59" s="257" t="s">
        <v>142</v>
      </c>
      <c r="B59" s="257"/>
      <c r="C59" s="250">
        <v>2</v>
      </c>
      <c r="D59" s="250">
        <v>15</v>
      </c>
      <c r="E59" s="85">
        <f t="shared" si="2"/>
        <v>30</v>
      </c>
    </row>
    <row r="60" spans="1:5" ht="15" thickBot="1">
      <c r="A60" s="257"/>
      <c r="B60" s="257"/>
      <c r="C60" s="250"/>
      <c r="D60" s="250"/>
      <c r="E60" s="85">
        <f>+D60*C60</f>
        <v>0</v>
      </c>
    </row>
    <row r="61" spans="1:6" ht="15" thickBot="1">
      <c r="A61" s="104"/>
      <c r="B61" s="104"/>
      <c r="C61" s="93"/>
      <c r="E61" s="94">
        <f>SUM(E50:E60)</f>
        <v>4444</v>
      </c>
      <c r="F61" s="61" t="s">
        <v>64</v>
      </c>
    </row>
    <row r="62" spans="1:6" ht="14.25">
      <c r="A62" s="13" t="s">
        <v>274</v>
      </c>
      <c r="B62" s="104"/>
      <c r="C62" s="93"/>
      <c r="E62" s="98">
        <f>+E61/60</f>
        <v>74.06666666666666</v>
      </c>
      <c r="F62" s="93" t="s">
        <v>55</v>
      </c>
    </row>
    <row r="63" spans="1:12" ht="9" customHeight="1" thickBot="1">
      <c r="A63" s="175"/>
      <c r="B63" s="175"/>
      <c r="C63" s="176"/>
      <c r="D63" s="176"/>
      <c r="E63" s="177"/>
      <c r="F63" s="177"/>
      <c r="G63" s="177"/>
      <c r="H63" s="177"/>
      <c r="I63" s="177"/>
      <c r="J63" s="177"/>
      <c r="K63" s="177"/>
      <c r="L63" s="177"/>
    </row>
    <row r="64" spans="1:5" ht="13.5" thickTop="1">
      <c r="A64" s="15"/>
      <c r="B64" s="15"/>
      <c r="C64" s="2"/>
      <c r="D64" s="2"/>
      <c r="E64" s="2"/>
    </row>
    <row r="65" spans="1:6" ht="18">
      <c r="A65" s="15"/>
      <c r="B65" s="15"/>
      <c r="C65" s="2"/>
      <c r="D65" s="2"/>
      <c r="E65" s="103"/>
      <c r="F65" s="103" t="s">
        <v>321</v>
      </c>
    </row>
    <row r="66" spans="1:6" ht="18">
      <c r="A66" s="15"/>
      <c r="B66" s="15"/>
      <c r="C66" s="2"/>
      <c r="D66" s="2"/>
      <c r="E66" s="109"/>
      <c r="F66" s="109" t="s">
        <v>143</v>
      </c>
    </row>
    <row r="67" spans="1:7" ht="14.25">
      <c r="A67" s="15"/>
      <c r="B67" s="15"/>
      <c r="C67" s="2"/>
      <c r="D67" s="2"/>
      <c r="G67" s="61"/>
    </row>
    <row r="68" spans="1:6" ht="15">
      <c r="A68" s="15"/>
      <c r="B68" s="15"/>
      <c r="C68" s="2"/>
      <c r="D68" s="2"/>
      <c r="F68" s="110" t="s">
        <v>197</v>
      </c>
    </row>
    <row r="69" spans="1:6" ht="15">
      <c r="A69" s="15"/>
      <c r="B69" s="15"/>
      <c r="C69" s="2"/>
      <c r="D69" s="2"/>
      <c r="F69" s="110" t="s">
        <v>198</v>
      </c>
    </row>
    <row r="70" spans="1:6" ht="15">
      <c r="A70" s="15"/>
      <c r="B70" s="15"/>
      <c r="C70" s="2"/>
      <c r="D70" s="2"/>
      <c r="E70" s="2"/>
      <c r="F70" s="110" t="s">
        <v>333</v>
      </c>
    </row>
    <row r="71" spans="1:6" ht="15">
      <c r="A71" s="15"/>
      <c r="B71" s="15"/>
      <c r="C71" s="2"/>
      <c r="D71" s="2"/>
      <c r="E71" s="2"/>
      <c r="F71" s="110" t="s">
        <v>334</v>
      </c>
    </row>
    <row r="72" spans="1:5" ht="12.75">
      <c r="A72" s="15"/>
      <c r="B72" s="15"/>
      <c r="C72" s="2"/>
      <c r="D72" s="2"/>
      <c r="E72" s="2"/>
    </row>
    <row r="73" spans="1:9" ht="12.75">
      <c r="A73" s="15"/>
      <c r="B73" s="15"/>
      <c r="C73" s="2"/>
      <c r="D73" s="2"/>
      <c r="E73" s="2"/>
      <c r="I73" s="263"/>
    </row>
    <row r="74" spans="1:5" ht="23.25">
      <c r="A74" s="82" t="s">
        <v>228</v>
      </c>
      <c r="B74" s="83"/>
      <c r="C74" s="2"/>
      <c r="D74" s="2"/>
      <c r="E74" s="2"/>
    </row>
    <row r="75" spans="1:5" ht="12.75">
      <c r="A75" s="15"/>
      <c r="B75" s="15"/>
      <c r="C75" s="40"/>
      <c r="D75" s="40"/>
      <c r="E75" s="40"/>
    </row>
    <row r="76" spans="1:5" ht="20.25">
      <c r="A76" s="111" t="s">
        <v>311</v>
      </c>
      <c r="B76" s="15"/>
      <c r="C76" s="40"/>
      <c r="D76" s="40"/>
      <c r="E76" s="40"/>
    </row>
    <row r="77" spans="1:5" ht="10.5" customHeight="1" thickBot="1">
      <c r="A77" s="105"/>
      <c r="B77" s="15"/>
      <c r="C77" s="40"/>
      <c r="D77" s="40"/>
      <c r="E77" s="40"/>
    </row>
    <row r="78" spans="1:6" ht="18">
      <c r="A78" s="105"/>
      <c r="B78" s="416" t="s">
        <v>278</v>
      </c>
      <c r="C78" s="417"/>
      <c r="D78" s="40"/>
      <c r="E78" s="416" t="s">
        <v>33</v>
      </c>
      <c r="F78" s="417"/>
    </row>
    <row r="79" spans="1:6" ht="18">
      <c r="A79" s="15"/>
      <c r="B79" s="418" t="s">
        <v>279</v>
      </c>
      <c r="C79" s="419"/>
      <c r="E79" s="418" t="s">
        <v>57</v>
      </c>
      <c r="F79" s="419"/>
    </row>
    <row r="80" spans="2:6" ht="6" customHeight="1">
      <c r="B80" s="36"/>
      <c r="C80" s="33"/>
      <c r="E80" s="36"/>
      <c r="F80" s="33"/>
    </row>
    <row r="81" spans="1:6" ht="12.75" customHeight="1">
      <c r="A81" s="279" t="s">
        <v>177</v>
      </c>
      <c r="B81" s="252">
        <v>3</v>
      </c>
      <c r="C81" s="33"/>
      <c r="E81" s="112" t="s">
        <v>179</v>
      </c>
      <c r="F81" s="253">
        <f>114-6*2.4</f>
        <v>99.6</v>
      </c>
    </row>
    <row r="82" spans="1:8" ht="12.75">
      <c r="A82" s="113" t="s">
        <v>154</v>
      </c>
      <c r="B82" s="243">
        <v>2.4</v>
      </c>
      <c r="C82" s="33"/>
      <c r="E82" s="112" t="s">
        <v>180</v>
      </c>
      <c r="F82" s="253">
        <v>1.7</v>
      </c>
      <c r="H82" s="114" t="s">
        <v>34</v>
      </c>
    </row>
    <row r="83" spans="1:8" ht="12.75">
      <c r="A83" s="113" t="s">
        <v>155</v>
      </c>
      <c r="B83" s="243">
        <v>2.2</v>
      </c>
      <c r="C83" s="33"/>
      <c r="E83" s="115" t="s">
        <v>181</v>
      </c>
      <c r="F83" s="50">
        <f>+B83</f>
        <v>2.2</v>
      </c>
      <c r="H83" s="313">
        <v>2.95</v>
      </c>
    </row>
    <row r="84" spans="1:6" ht="12.75" customHeight="1">
      <c r="A84" s="113" t="s">
        <v>201</v>
      </c>
      <c r="B84" s="63">
        <f>ROUNDUP(B83*I122*B82*$H$83*B81,0)</f>
        <v>80</v>
      </c>
      <c r="C84" s="33"/>
      <c r="E84" s="115" t="s">
        <v>182</v>
      </c>
      <c r="F84" s="50">
        <f>ROUNDUP(F83*I122*F81*$H$83,0)</f>
        <v>1099</v>
      </c>
    </row>
    <row r="85" spans="1:11" ht="12.75" customHeight="1" thickBot="1">
      <c r="A85" s="38"/>
      <c r="B85" s="37"/>
      <c r="C85" s="39"/>
      <c r="D85" s="38"/>
      <c r="E85" s="37"/>
      <c r="F85" s="39"/>
      <c r="G85" s="38"/>
      <c r="H85" s="38"/>
      <c r="I85" s="38"/>
      <c r="J85" s="38"/>
      <c r="K85" s="38"/>
    </row>
    <row r="86" spans="1:11" ht="18" customHeight="1">
      <c r="A86" s="2"/>
      <c r="B86" s="36"/>
      <c r="C86" s="33"/>
      <c r="D86" s="2"/>
      <c r="E86" s="36"/>
      <c r="F86" s="33"/>
      <c r="G86" s="2"/>
      <c r="H86" s="2"/>
      <c r="I86" s="2"/>
      <c r="J86" s="2"/>
      <c r="K86" s="2"/>
    </row>
    <row r="87" spans="1:6" ht="18" customHeight="1">
      <c r="A87" s="111" t="s">
        <v>60</v>
      </c>
      <c r="B87" s="65"/>
      <c r="C87" s="33"/>
      <c r="E87" s="65"/>
      <c r="F87" s="380" t="s">
        <v>147</v>
      </c>
    </row>
    <row r="88" spans="1:6" ht="18" customHeight="1">
      <c r="A88" s="105"/>
      <c r="B88" s="65" t="s">
        <v>145</v>
      </c>
      <c r="C88" s="33"/>
      <c r="E88" s="65" t="s">
        <v>145</v>
      </c>
      <c r="F88" s="380"/>
    </row>
    <row r="89" spans="1:7" ht="18" customHeight="1">
      <c r="A89" s="336" t="s">
        <v>156</v>
      </c>
      <c r="B89" s="40" t="s">
        <v>146</v>
      </c>
      <c r="C89" s="64" t="s">
        <v>20</v>
      </c>
      <c r="E89" s="65" t="s">
        <v>146</v>
      </c>
      <c r="F89" s="371"/>
      <c r="G89" s="19"/>
    </row>
    <row r="90" spans="1:6" ht="18" customHeight="1">
      <c r="A90" s="337"/>
      <c r="B90" s="290">
        <v>15</v>
      </c>
      <c r="C90" s="66">
        <f>+ROUNDUP(B90/60*B82,1)</f>
        <v>0.6</v>
      </c>
      <c r="E90" s="243">
        <v>15</v>
      </c>
      <c r="F90" s="66">
        <f>ROUNDUP(+F81*E90/60,1)</f>
        <v>24.9</v>
      </c>
    </row>
    <row r="91" spans="1:11" ht="18" customHeight="1" thickBot="1">
      <c r="A91" s="38"/>
      <c r="B91" s="37"/>
      <c r="C91" s="39"/>
      <c r="D91" s="38"/>
      <c r="E91" s="37"/>
      <c r="F91" s="39"/>
      <c r="G91" s="38"/>
      <c r="H91" s="38"/>
      <c r="I91" s="38"/>
      <c r="J91" s="38"/>
      <c r="K91" s="38"/>
    </row>
    <row r="92" spans="1:11" ht="18" customHeight="1">
      <c r="A92" s="2"/>
      <c r="B92" s="36"/>
      <c r="C92" s="33"/>
      <c r="D92" s="2"/>
      <c r="E92" s="36"/>
      <c r="F92" s="33"/>
      <c r="G92" s="381" t="s">
        <v>149</v>
      </c>
      <c r="H92" s="382"/>
      <c r="I92" s="382"/>
      <c r="J92" s="382"/>
      <c r="K92" s="383"/>
    </row>
    <row r="93" spans="1:11" ht="23.25" customHeight="1">
      <c r="A93" s="111" t="s">
        <v>62</v>
      </c>
      <c r="B93" s="36"/>
      <c r="C93" s="33"/>
      <c r="E93" s="36"/>
      <c r="F93" s="33"/>
      <c r="G93" s="116"/>
      <c r="H93" s="116"/>
      <c r="I93" s="414" t="s">
        <v>298</v>
      </c>
      <c r="J93" s="414" t="s">
        <v>178</v>
      </c>
      <c r="K93" s="414" t="s">
        <v>153</v>
      </c>
    </row>
    <row r="94" spans="2:11" ht="18" customHeight="1">
      <c r="B94" s="36"/>
      <c r="C94" s="64" t="s">
        <v>20</v>
      </c>
      <c r="E94" s="36"/>
      <c r="F94" s="64" t="s">
        <v>20</v>
      </c>
      <c r="G94" s="116"/>
      <c r="H94" s="116"/>
      <c r="I94" s="414"/>
      <c r="J94" s="414"/>
      <c r="K94" s="415"/>
    </row>
    <row r="95" spans="1:11" ht="18" customHeight="1">
      <c r="A95" s="62" t="s">
        <v>157</v>
      </c>
      <c r="B95" s="36"/>
      <c r="C95" s="66">
        <f>+ROUNDUP(B81*B83*K98/K116,1)</f>
        <v>2.2</v>
      </c>
      <c r="E95" s="36"/>
      <c r="F95" s="66">
        <f>+ROUNDUP(F81*K98/K116,1)</f>
        <v>32</v>
      </c>
      <c r="G95" s="412" t="s">
        <v>150</v>
      </c>
      <c r="H95" s="413"/>
      <c r="I95" s="254">
        <v>1.2</v>
      </c>
      <c r="J95" s="313">
        <v>3</v>
      </c>
      <c r="K95" s="311">
        <f>ROUND(J95*I95/1.2+0.1,1)</f>
        <v>3.1</v>
      </c>
    </row>
    <row r="96" spans="2:11" ht="18" customHeight="1">
      <c r="B96" s="378" t="s">
        <v>148</v>
      </c>
      <c r="C96" s="33"/>
      <c r="E96" s="378"/>
      <c r="F96" s="33"/>
      <c r="G96" s="412" t="s">
        <v>151</v>
      </c>
      <c r="H96" s="413"/>
      <c r="I96" s="254">
        <v>1.2</v>
      </c>
      <c r="J96" s="313">
        <v>2</v>
      </c>
      <c r="K96" s="311">
        <f>ROUND(J96*I96/1.2+0.1,1)</f>
        <v>2.1</v>
      </c>
    </row>
    <row r="97" spans="2:11" ht="18" customHeight="1">
      <c r="B97" s="378"/>
      <c r="C97" s="64" t="s">
        <v>20</v>
      </c>
      <c r="E97" s="378"/>
      <c r="F97" s="64" t="s">
        <v>20</v>
      </c>
      <c r="G97" s="412" t="s">
        <v>152</v>
      </c>
      <c r="H97" s="413"/>
      <c r="I97" s="254">
        <v>1.2</v>
      </c>
      <c r="J97" s="313">
        <v>2</v>
      </c>
      <c r="K97" s="311">
        <f>ROUND(J97*I97/1.2+0.1,1)</f>
        <v>2.1</v>
      </c>
    </row>
    <row r="98" spans="1:11" ht="18" customHeight="1">
      <c r="A98" s="291" t="s">
        <v>158</v>
      </c>
      <c r="B98" s="290">
        <v>8.5</v>
      </c>
      <c r="C98" s="66">
        <f>+ROUNDUP(J98*B98*B81*B83/60,1)</f>
        <v>6.6</v>
      </c>
      <c r="E98" s="36"/>
      <c r="F98" s="66">
        <f>+ROUNDUP(J98*B98*F81/60,1)</f>
        <v>98.8</v>
      </c>
      <c r="G98" s="2"/>
      <c r="J98" s="311">
        <f>SUM(J95:J97)</f>
        <v>7</v>
      </c>
      <c r="K98" s="311">
        <f>SUM(K95:K97)</f>
        <v>7.300000000000001</v>
      </c>
    </row>
    <row r="99" spans="1:6" ht="18" customHeight="1">
      <c r="A99" s="292" t="s">
        <v>194</v>
      </c>
      <c r="B99" s="2"/>
      <c r="C99" s="117" t="s">
        <v>100</v>
      </c>
      <c r="E99" s="36"/>
      <c r="F99" s="117" t="s">
        <v>100</v>
      </c>
    </row>
    <row r="100" spans="1:11" ht="18" customHeight="1" thickBot="1">
      <c r="A100" s="38"/>
      <c r="B100" s="37"/>
      <c r="C100" s="118">
        <f>+C95+C98</f>
        <v>8.8</v>
      </c>
      <c r="D100" s="38"/>
      <c r="E100" s="37"/>
      <c r="F100" s="118">
        <f>+F95+F98</f>
        <v>130.8</v>
      </c>
      <c r="G100" s="38"/>
      <c r="H100" s="38"/>
      <c r="I100" s="38"/>
      <c r="J100" s="38"/>
      <c r="K100" s="38"/>
    </row>
    <row r="101" spans="1:11" ht="18" customHeight="1" thickBot="1">
      <c r="A101" s="2"/>
      <c r="B101" s="36"/>
      <c r="C101" s="159"/>
      <c r="D101" s="2"/>
      <c r="E101" s="36"/>
      <c r="F101" s="159"/>
      <c r="G101" s="381" t="s">
        <v>324</v>
      </c>
      <c r="H101" s="382"/>
      <c r="I101" s="382"/>
      <c r="J101" s="382"/>
      <c r="K101" s="383"/>
    </row>
    <row r="102" spans="1:11" ht="18" customHeight="1">
      <c r="A102" s="111" t="s">
        <v>312</v>
      </c>
      <c r="B102" s="65"/>
      <c r="C102" s="64"/>
      <c r="D102" s="2"/>
      <c r="E102" s="36"/>
      <c r="F102" s="159"/>
      <c r="G102" s="2"/>
      <c r="H102" s="409" t="s">
        <v>262</v>
      </c>
      <c r="I102" s="410"/>
      <c r="J102" s="411"/>
      <c r="K102" s="2"/>
    </row>
    <row r="103" spans="1:11" ht="18" customHeight="1">
      <c r="A103" s="2"/>
      <c r="B103" s="65" t="s">
        <v>162</v>
      </c>
      <c r="C103" s="64" t="s">
        <v>20</v>
      </c>
      <c r="E103" s="65" t="s">
        <v>162</v>
      </c>
      <c r="F103" s="64" t="s">
        <v>20</v>
      </c>
      <c r="G103" s="2"/>
      <c r="H103" s="168" t="s">
        <v>159</v>
      </c>
      <c r="I103" s="6" t="s">
        <v>160</v>
      </c>
      <c r="J103" s="67" t="s">
        <v>48</v>
      </c>
      <c r="K103" s="49" t="s">
        <v>195</v>
      </c>
    </row>
    <row r="104" spans="1:11" ht="18" customHeight="1" thickBot="1">
      <c r="A104" s="1" t="s">
        <v>183</v>
      </c>
      <c r="B104" s="243">
        <v>50</v>
      </c>
      <c r="C104" s="66">
        <f>+ROUNDUP(B84/B104,1)</f>
        <v>1.6</v>
      </c>
      <c r="E104" s="243">
        <v>53</v>
      </c>
      <c r="F104" s="66">
        <f>+ROUNDUP(F84/E104,1)</f>
        <v>20.8</v>
      </c>
      <c r="G104" s="2"/>
      <c r="H104" s="172">
        <f>+B81*B82*F82</f>
        <v>12.239999999999998</v>
      </c>
      <c r="I104" s="173">
        <f>+F81*F82</f>
        <v>169.32</v>
      </c>
      <c r="J104" s="174">
        <f>+I104+H104</f>
        <v>181.56</v>
      </c>
      <c r="K104" s="227">
        <v>0.15</v>
      </c>
    </row>
    <row r="105" spans="1:11" ht="18" customHeight="1">
      <c r="A105" s="2"/>
      <c r="B105" s="36"/>
      <c r="C105" s="33"/>
      <c r="E105" s="36"/>
      <c r="F105" s="33"/>
      <c r="G105" s="2"/>
      <c r="H105" s="409" t="s">
        <v>325</v>
      </c>
      <c r="I105" s="410"/>
      <c r="J105" s="411"/>
      <c r="K105" s="2"/>
    </row>
    <row r="106" spans="1:11" ht="18" customHeight="1">
      <c r="A106" s="2"/>
      <c r="B106" s="167" t="s">
        <v>111</v>
      </c>
      <c r="C106" s="64" t="s">
        <v>20</v>
      </c>
      <c r="E106" s="167" t="s">
        <v>111</v>
      </c>
      <c r="F106" s="64" t="s">
        <v>20</v>
      </c>
      <c r="G106" s="2"/>
      <c r="H106" s="168" t="s">
        <v>159</v>
      </c>
      <c r="I106" s="6" t="s">
        <v>160</v>
      </c>
      <c r="J106" s="67" t="s">
        <v>48</v>
      </c>
      <c r="K106" s="2"/>
    </row>
    <row r="107" spans="1:11" ht="18" customHeight="1" thickBot="1">
      <c r="A107" s="1" t="s">
        <v>184</v>
      </c>
      <c r="B107" s="243">
        <v>15</v>
      </c>
      <c r="C107" s="66">
        <f>IF(B107=0,0,ROUNDUP(H104/B107,1))</f>
        <v>0.9</v>
      </c>
      <c r="E107" s="243">
        <v>20</v>
      </c>
      <c r="F107" s="66">
        <f>IF(E107=0,0,ROUNDUP(I104/E107,1))</f>
        <v>8.5</v>
      </c>
      <c r="G107" s="2"/>
      <c r="H107" s="169">
        <f>+H104*K104*H83/1.35</f>
        <v>4.011999999999999</v>
      </c>
      <c r="I107" s="170">
        <f>+I104*K104*H83/1.35</f>
        <v>55.49933333333334</v>
      </c>
      <c r="J107" s="171">
        <f>+I107+H107</f>
        <v>59.51133333333334</v>
      </c>
      <c r="K107" s="2"/>
    </row>
    <row r="108" spans="1:11" ht="18" customHeight="1" thickBot="1">
      <c r="A108" s="38"/>
      <c r="B108" s="37"/>
      <c r="C108" s="160"/>
      <c r="D108" s="38"/>
      <c r="E108" s="37"/>
      <c r="F108" s="160"/>
      <c r="G108" s="38"/>
      <c r="H108" s="38"/>
      <c r="I108" s="38"/>
      <c r="J108" s="38"/>
      <c r="K108" s="38"/>
    </row>
    <row r="109" spans="1:11" ht="6.75" customHeight="1">
      <c r="A109" s="2"/>
      <c r="B109" s="36"/>
      <c r="C109" s="33"/>
      <c r="D109" s="2"/>
      <c r="E109" s="36"/>
      <c r="F109" s="33"/>
      <c r="G109" s="2"/>
      <c r="H109" s="2"/>
      <c r="I109" s="2"/>
      <c r="J109" s="2"/>
      <c r="K109" s="2"/>
    </row>
    <row r="110" spans="1:11" ht="20.25">
      <c r="A110" s="111" t="s">
        <v>313</v>
      </c>
      <c r="B110" s="36"/>
      <c r="C110" s="33"/>
      <c r="E110" s="36"/>
      <c r="F110" s="33"/>
      <c r="G110" s="381" t="s">
        <v>35</v>
      </c>
      <c r="H110" s="382"/>
      <c r="I110" s="382"/>
      <c r="J110" s="382"/>
      <c r="K110" s="383"/>
    </row>
    <row r="111" spans="1:11" ht="20.25">
      <c r="A111" s="111"/>
      <c r="B111" s="36"/>
      <c r="C111" s="33"/>
      <c r="E111" s="36"/>
      <c r="F111" s="33"/>
      <c r="G111" s="119" t="s">
        <v>161</v>
      </c>
      <c r="H111" s="119"/>
      <c r="I111" s="119"/>
      <c r="J111" s="120"/>
      <c r="K111" s="242">
        <v>2.16</v>
      </c>
    </row>
    <row r="112" spans="1:11" ht="14.25" customHeight="1">
      <c r="A112" s="111"/>
      <c r="B112" s="36"/>
      <c r="C112" s="33"/>
      <c r="E112" s="36"/>
      <c r="F112" s="33"/>
      <c r="G112" s="393" t="s">
        <v>164</v>
      </c>
      <c r="H112" s="394"/>
      <c r="I112" s="394"/>
      <c r="J112" s="395"/>
      <c r="K112" s="399">
        <v>2</v>
      </c>
    </row>
    <row r="113" spans="1:11" ht="15" customHeight="1">
      <c r="A113" s="111"/>
      <c r="B113" s="36"/>
      <c r="C113" s="33"/>
      <c r="E113" s="36"/>
      <c r="F113" s="33"/>
      <c r="G113" s="396"/>
      <c r="H113" s="397"/>
      <c r="I113" s="397"/>
      <c r="J113" s="398"/>
      <c r="K113" s="400"/>
    </row>
    <row r="114" spans="1:11" ht="12.75">
      <c r="A114" s="2"/>
      <c r="B114" s="65" t="s">
        <v>275</v>
      </c>
      <c r="C114" s="64" t="s">
        <v>19</v>
      </c>
      <c r="E114" s="65" t="s">
        <v>286</v>
      </c>
      <c r="F114" s="64" t="s">
        <v>19</v>
      </c>
      <c r="G114" s="53" t="s">
        <v>165</v>
      </c>
      <c r="H114" s="121"/>
      <c r="I114" s="121"/>
      <c r="J114" s="68"/>
      <c r="K114" s="122">
        <f>+K112+K111*2</f>
        <v>6.32</v>
      </c>
    </row>
    <row r="115" spans="1:6" ht="13.5" thickBot="1">
      <c r="A115" s="55" t="s">
        <v>163</v>
      </c>
      <c r="B115" s="243">
        <v>31</v>
      </c>
      <c r="C115" s="50">
        <f>B82*B115*B81</f>
        <v>223.2</v>
      </c>
      <c r="E115" s="63">
        <f>ROUNDUP(ROUNDUP(I125,0)*H125,0)</f>
        <v>498</v>
      </c>
      <c r="F115" s="50">
        <f>+E115*G122</f>
        <v>1195.2</v>
      </c>
    </row>
    <row r="116" spans="2:11" ht="12.75">
      <c r="B116" s="65"/>
      <c r="C116" s="64" t="s">
        <v>20</v>
      </c>
      <c r="E116" s="65"/>
      <c r="F116" s="64" t="s">
        <v>20</v>
      </c>
      <c r="G116" s="401" t="s">
        <v>166</v>
      </c>
      <c r="H116" s="402"/>
      <c r="I116" s="402"/>
      <c r="J116" s="403"/>
      <c r="K116" s="404">
        <f>2.4/K114*60</f>
        <v>22.784810126582276</v>
      </c>
    </row>
    <row r="117" spans="1:11" ht="13.5" thickBot="1">
      <c r="A117" s="62" t="s">
        <v>287</v>
      </c>
      <c r="B117" s="65"/>
      <c r="C117" s="66">
        <f>C115/$K$116</f>
        <v>9.796000000000001</v>
      </c>
      <c r="E117" s="65"/>
      <c r="F117" s="66">
        <f>F115/$K$116</f>
        <v>52.45600000000001</v>
      </c>
      <c r="G117" s="406" t="s">
        <v>167</v>
      </c>
      <c r="H117" s="407"/>
      <c r="I117" s="407"/>
      <c r="J117" s="408"/>
      <c r="K117" s="405"/>
    </row>
    <row r="118" spans="1:6" ht="13.5" thickBot="1">
      <c r="A118" s="2"/>
      <c r="B118" s="65"/>
      <c r="C118" s="33"/>
      <c r="E118" s="65"/>
      <c r="F118" s="33"/>
    </row>
    <row r="119" spans="1:11" ht="15.75">
      <c r="A119" s="2"/>
      <c r="B119" s="63">
        <f>+B84</f>
        <v>80</v>
      </c>
      <c r="C119" s="33" t="s">
        <v>13</v>
      </c>
      <c r="D119" s="2"/>
      <c r="E119" s="63">
        <f>+F84</f>
        <v>1099</v>
      </c>
      <c r="F119" s="33" t="s">
        <v>13</v>
      </c>
      <c r="G119" s="384" t="s">
        <v>267</v>
      </c>
      <c r="H119" s="385"/>
      <c r="I119" s="385"/>
      <c r="J119" s="385"/>
      <c r="K119" s="386"/>
    </row>
    <row r="120" spans="2:11" ht="12.75">
      <c r="B120" s="36"/>
      <c r="C120" s="33"/>
      <c r="E120" s="36"/>
      <c r="F120" s="33"/>
      <c r="G120" s="387" t="s">
        <v>168</v>
      </c>
      <c r="H120" s="389" t="s">
        <v>254</v>
      </c>
      <c r="I120" s="391" t="s">
        <v>169</v>
      </c>
      <c r="J120" s="123"/>
      <c r="K120" s="124"/>
    </row>
    <row r="121" spans="2:11" ht="15.75" customHeight="1">
      <c r="B121" s="36"/>
      <c r="C121" s="33"/>
      <c r="E121" s="36"/>
      <c r="F121" s="33"/>
      <c r="G121" s="388"/>
      <c r="H121" s="390"/>
      <c r="I121" s="392"/>
      <c r="J121" s="431" t="s">
        <v>340</v>
      </c>
      <c r="K121" s="432"/>
    </row>
    <row r="122" spans="2:11" ht="13.5" thickBot="1">
      <c r="B122" s="36"/>
      <c r="C122" s="33"/>
      <c r="E122" s="36"/>
      <c r="F122" s="33"/>
      <c r="G122" s="299">
        <f>+B82</f>
        <v>2.4</v>
      </c>
      <c r="H122" s="173">
        <f>+F83</f>
        <v>2.2</v>
      </c>
      <c r="I122" s="173">
        <f>+F82</f>
        <v>1.7</v>
      </c>
      <c r="J122" s="433">
        <v>0.6</v>
      </c>
      <c r="K122" s="434"/>
    </row>
    <row r="123" spans="2:6" ht="13.5" thickBot="1">
      <c r="B123" s="36"/>
      <c r="C123" s="33"/>
      <c r="E123" s="36"/>
      <c r="F123" s="33"/>
    </row>
    <row r="124" spans="2:11" ht="12.75">
      <c r="B124" s="36"/>
      <c r="C124" s="33"/>
      <c r="E124" s="36"/>
      <c r="F124" s="33"/>
      <c r="H124" s="125" t="s">
        <v>319</v>
      </c>
      <c r="I124" s="428" t="s">
        <v>320</v>
      </c>
      <c r="J124" s="429"/>
      <c r="K124" s="430"/>
    </row>
    <row r="125" spans="2:11" ht="13.5" thickBot="1">
      <c r="B125" s="36"/>
      <c r="C125" s="33"/>
      <c r="E125" s="36"/>
      <c r="F125" s="33"/>
      <c r="H125" s="298">
        <f>ROUNDUP(F81/J122,0)</f>
        <v>166</v>
      </c>
      <c r="I125" s="365">
        <v>3</v>
      </c>
      <c r="J125" s="366"/>
      <c r="K125" s="367"/>
    </row>
    <row r="126" spans="1:11" ht="16.5" customHeight="1" thickBot="1">
      <c r="A126" s="126"/>
      <c r="B126" s="127"/>
      <c r="C126" s="128"/>
      <c r="D126" s="126"/>
      <c r="E126" s="127"/>
      <c r="F126" s="128"/>
      <c r="G126" s="284" t="s">
        <v>170</v>
      </c>
      <c r="H126" s="129">
        <f>+K126/G122</f>
        <v>0.9195113788487282</v>
      </c>
      <c r="I126" s="376" t="s">
        <v>36</v>
      </c>
      <c r="J126" s="377"/>
      <c r="K126" s="238">
        <f>+E119/H125/I125</f>
        <v>2.2068273092369477</v>
      </c>
    </row>
    <row r="127" spans="1:11" ht="6" customHeight="1">
      <c r="A127" s="2"/>
      <c r="B127" s="36"/>
      <c r="C127" s="33"/>
      <c r="D127" s="2"/>
      <c r="E127" s="36"/>
      <c r="F127" s="33"/>
      <c r="K127" s="2"/>
    </row>
    <row r="128" spans="1:11" ht="20.25">
      <c r="A128" s="111" t="s">
        <v>314</v>
      </c>
      <c r="B128" s="36"/>
      <c r="C128" s="33"/>
      <c r="D128" s="2"/>
      <c r="E128" s="36"/>
      <c r="F128" s="33"/>
      <c r="K128" s="2"/>
    </row>
    <row r="129" spans="2:6" ht="12.75">
      <c r="B129" s="378" t="s">
        <v>288</v>
      </c>
      <c r="C129" s="33"/>
      <c r="D129" s="2"/>
      <c r="E129" s="378" t="s">
        <v>289</v>
      </c>
      <c r="F129" s="380" t="s">
        <v>61</v>
      </c>
    </row>
    <row r="130" spans="1:12" ht="15.75">
      <c r="A130" s="93"/>
      <c r="B130" s="379"/>
      <c r="C130" s="64" t="s">
        <v>20</v>
      </c>
      <c r="E130" s="379"/>
      <c r="F130" s="371"/>
      <c r="G130" s="381" t="s">
        <v>63</v>
      </c>
      <c r="H130" s="382"/>
      <c r="I130" s="382"/>
      <c r="J130" s="382"/>
      <c r="K130" s="383"/>
      <c r="L130" s="19"/>
    </row>
    <row r="131" spans="1:9" ht="12.75">
      <c r="A131" s="62" t="s">
        <v>176</v>
      </c>
      <c r="B131" s="244">
        <v>0.7</v>
      </c>
      <c r="C131" s="66">
        <f>+B134*B81*B131/60</f>
        <v>0.98</v>
      </c>
      <c r="E131" s="244">
        <v>0.7</v>
      </c>
      <c r="F131" s="66">
        <f>+E131*F115/60</f>
        <v>13.943999999999999</v>
      </c>
      <c r="G131" s="130"/>
      <c r="H131" s="131" t="s">
        <v>171</v>
      </c>
      <c r="I131" s="245">
        <v>32</v>
      </c>
    </row>
    <row r="132" spans="2:9" ht="15.75" thickBot="1">
      <c r="B132" s="36"/>
      <c r="C132" s="33"/>
      <c r="E132" s="65"/>
      <c r="F132" s="370" t="s">
        <v>213</v>
      </c>
      <c r="G132" s="132"/>
      <c r="H132" s="131" t="s">
        <v>172</v>
      </c>
      <c r="I132" s="246">
        <v>1.01</v>
      </c>
    </row>
    <row r="133" spans="2:11" ht="18.75" customHeight="1">
      <c r="B133" s="65" t="s">
        <v>290</v>
      </c>
      <c r="C133" s="64" t="s">
        <v>292</v>
      </c>
      <c r="E133" s="65" t="s">
        <v>291</v>
      </c>
      <c r="F133" s="371"/>
      <c r="J133" s="368" t="s">
        <v>196</v>
      </c>
      <c r="K133" s="369"/>
    </row>
    <row r="134" spans="1:11" ht="19.5" customHeight="1" thickBot="1">
      <c r="A134" s="62" t="s">
        <v>17</v>
      </c>
      <c r="B134" s="247">
        <v>28</v>
      </c>
      <c r="C134" s="134">
        <f>ROUND(+C115/$G$122/B134,0)</f>
        <v>3</v>
      </c>
      <c r="E134" s="247">
        <v>42</v>
      </c>
      <c r="F134" s="66">
        <f>+E134/I125*J122</f>
        <v>8.4</v>
      </c>
      <c r="G134" s="372" t="s">
        <v>296</v>
      </c>
      <c r="H134" s="373"/>
      <c r="I134" s="133">
        <f>POWER(I131/1000,2)*PI()/4*1000*I132</f>
        <v>0.8122901965121768</v>
      </c>
      <c r="J134" s="374">
        <f>+I134*B83/K126</f>
        <v>0.8097771968141411</v>
      </c>
      <c r="K134" s="375"/>
    </row>
    <row r="135" spans="2:6" ht="10.5" customHeight="1" thickBot="1">
      <c r="B135" s="36"/>
      <c r="C135" s="33"/>
      <c r="E135" s="36"/>
      <c r="F135" s="33"/>
    </row>
    <row r="136" spans="1:11" ht="19.5" customHeight="1" thickBot="1">
      <c r="A136" s="62" t="s">
        <v>113</v>
      </c>
      <c r="B136" s="36"/>
      <c r="C136" s="134">
        <f>ROUND(I134*B134*B82,0)</f>
        <v>55</v>
      </c>
      <c r="E136" s="65"/>
      <c r="F136" s="134">
        <f>ROUND(+J134*F84,0)</f>
        <v>890</v>
      </c>
      <c r="H136" s="354" t="s">
        <v>173</v>
      </c>
      <c r="I136" s="355"/>
      <c r="J136" s="356"/>
      <c r="K136" s="316">
        <f>ROUNDUP(+F81/F134,0)</f>
        <v>12</v>
      </c>
    </row>
    <row r="137" spans="1:11" ht="13.5" thickBot="1">
      <c r="A137" s="38"/>
      <c r="B137" s="37"/>
      <c r="C137" s="39"/>
      <c r="D137" s="38"/>
      <c r="E137" s="37"/>
      <c r="F137" s="39"/>
      <c r="G137" s="38"/>
      <c r="H137" s="38"/>
      <c r="I137" s="38"/>
      <c r="J137" s="38"/>
      <c r="K137" s="38"/>
    </row>
    <row r="139" spans="1:11" ht="20.25">
      <c r="A139" s="111" t="s">
        <v>335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>
      <c r="B140" s="13" t="s">
        <v>293</v>
      </c>
    </row>
    <row r="141" spans="1:5" ht="12.75" customHeight="1">
      <c r="A141" s="17" t="s">
        <v>38</v>
      </c>
      <c r="B141" t="s">
        <v>263</v>
      </c>
      <c r="E141" s="135" t="s">
        <v>37</v>
      </c>
    </row>
    <row r="142" spans="1:6" ht="12.75">
      <c r="A142" s="32" t="s">
        <v>212</v>
      </c>
      <c r="B142" s="357">
        <f>+C134+K136</f>
        <v>15</v>
      </c>
      <c r="C142" s="357"/>
      <c r="E142" s="136" t="s">
        <v>174</v>
      </c>
      <c r="F142" s="79" t="s">
        <v>95</v>
      </c>
    </row>
    <row r="143" spans="5:6" ht="12.75">
      <c r="E143" s="248">
        <v>0</v>
      </c>
      <c r="F143" s="52">
        <f>+ROUNDUP(E143/60*B142,1)</f>
        <v>0</v>
      </c>
    </row>
    <row r="144" spans="1:13" ht="13.5" thickBot="1">
      <c r="A144" s="38"/>
      <c r="B144" s="38"/>
      <c r="C144" s="38"/>
      <c r="D144" s="38"/>
      <c r="E144" s="162"/>
      <c r="F144" s="162"/>
      <c r="G144" s="38"/>
      <c r="H144" s="38"/>
      <c r="I144" s="38"/>
      <c r="J144" s="38"/>
      <c r="K144" s="38"/>
      <c r="L144" s="38"/>
      <c r="M144" s="38"/>
    </row>
    <row r="145" spans="5:6" ht="12.75">
      <c r="E145" s="161"/>
      <c r="F145" s="161"/>
    </row>
    <row r="146" spans="1:6" ht="20.25">
      <c r="A146" s="111" t="s">
        <v>315</v>
      </c>
      <c r="E146" s="161"/>
      <c r="F146" s="161"/>
    </row>
    <row r="147" spans="2:6" ht="14.25">
      <c r="B147" s="163" t="s">
        <v>18</v>
      </c>
      <c r="C147" s="163" t="s">
        <v>53</v>
      </c>
      <c r="D147" s="163" t="s">
        <v>94</v>
      </c>
      <c r="E147" s="163" t="s">
        <v>20</v>
      </c>
      <c r="F147" s="161"/>
    </row>
    <row r="148" spans="2:6" ht="14.25">
      <c r="B148" s="178">
        <f>(B84+F84)/H83</f>
        <v>399.6610169491525</v>
      </c>
      <c r="C148" s="249">
        <f>H83*0.67</f>
        <v>1.9765000000000001</v>
      </c>
      <c r="D148" s="250">
        <v>110</v>
      </c>
      <c r="E148" s="164">
        <f>+ROUNDUP(B148*C148/D148,1)</f>
        <v>7.199999999999999</v>
      </c>
      <c r="F148" s="165" t="s">
        <v>54</v>
      </c>
    </row>
    <row r="149" spans="1:13" ht="13.5" thickBo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1" ht="12.75">
      <c r="I151" s="358" t="s">
        <v>264</v>
      </c>
    </row>
    <row r="152" spans="1:12" ht="20.25">
      <c r="A152" s="83" t="s">
        <v>316</v>
      </c>
      <c r="I152" s="359"/>
      <c r="J152" s="54"/>
      <c r="L152" s="54"/>
    </row>
    <row r="153" spans="1:12" ht="18">
      <c r="A153" s="318" t="s">
        <v>255</v>
      </c>
      <c r="I153" s="359"/>
      <c r="J153" s="54"/>
      <c r="L153" s="54"/>
    </row>
    <row r="154" spans="1:12" ht="15" customHeight="1">
      <c r="A154" s="57"/>
      <c r="I154" s="359"/>
      <c r="L154" s="54"/>
    </row>
    <row r="155" spans="1:12" ht="15" customHeight="1">
      <c r="A155" s="361" t="s">
        <v>308</v>
      </c>
      <c r="B155" s="362"/>
      <c r="I155" s="359"/>
      <c r="J155" s="54"/>
      <c r="L155" s="54"/>
    </row>
    <row r="156" spans="1:11" ht="15" customHeight="1">
      <c r="A156" s="363" t="s">
        <v>175</v>
      </c>
      <c r="B156" s="364"/>
      <c r="C156" s="137" t="s">
        <v>24</v>
      </c>
      <c r="D156" s="59" t="s">
        <v>23</v>
      </c>
      <c r="E156" s="42" t="s">
        <v>11</v>
      </c>
      <c r="F156" s="42" t="s">
        <v>12</v>
      </c>
      <c r="G156" s="59" t="s">
        <v>22</v>
      </c>
      <c r="H156" s="225" t="s">
        <v>25</v>
      </c>
      <c r="I156" s="360"/>
      <c r="J156" s="226" t="s">
        <v>26</v>
      </c>
      <c r="K156" s="19" t="s">
        <v>276</v>
      </c>
    </row>
    <row r="157" spans="1:11" ht="15">
      <c r="A157" s="330" t="s">
        <v>217</v>
      </c>
      <c r="B157" s="327"/>
      <c r="C157" s="138" t="s">
        <v>39</v>
      </c>
      <c r="D157" s="139">
        <f>+E35*B142</f>
        <v>5</v>
      </c>
      <c r="E157" s="139">
        <f>+E43*B142</f>
        <v>2.5</v>
      </c>
      <c r="F157" s="139">
        <f>+K38/60*B142</f>
        <v>3.75</v>
      </c>
      <c r="G157" s="139">
        <f>(K42-F38)*B142</f>
        <v>14.75</v>
      </c>
      <c r="H157" s="140">
        <f>+F143</f>
        <v>0</v>
      </c>
      <c r="I157" s="139">
        <f>+E62</f>
        <v>74.06666666666666</v>
      </c>
      <c r="J157" s="140">
        <f>+K57</f>
        <v>2.5</v>
      </c>
      <c r="K157" s="139">
        <f>SUM(C157:J157)</f>
        <v>102.56666666666666</v>
      </c>
    </row>
    <row r="158" spans="1:11" ht="15">
      <c r="A158" s="328" t="s">
        <v>218</v>
      </c>
      <c r="B158" s="329"/>
      <c r="C158" s="140">
        <f>(C90+F90)</f>
        <v>25.5</v>
      </c>
      <c r="D158" s="140">
        <f>+(C100+F100)</f>
        <v>139.60000000000002</v>
      </c>
      <c r="E158" s="140">
        <f>(F117+C117)</f>
        <v>62.25200000000001</v>
      </c>
      <c r="F158" s="140">
        <f>+F104+C104+C107+F107</f>
        <v>31.8</v>
      </c>
      <c r="G158" s="140">
        <f>+(C131+F131)</f>
        <v>14.924</v>
      </c>
      <c r="H158" s="141"/>
      <c r="I158" s="140">
        <f>+E148</f>
        <v>7.199999999999999</v>
      </c>
      <c r="J158" s="141"/>
      <c r="K158" s="139">
        <f>SUM(C158:J158)</f>
        <v>281.276</v>
      </c>
    </row>
    <row r="159" spans="1:2" ht="12.75">
      <c r="A159" s="142"/>
      <c r="B159" s="142"/>
    </row>
    <row r="160" spans="1:2" ht="12.75">
      <c r="A160" s="142"/>
      <c r="B160" s="142"/>
    </row>
    <row r="161" spans="1:2" ht="12.75">
      <c r="A161" s="143" t="s">
        <v>185</v>
      </c>
      <c r="B161" s="142"/>
    </row>
    <row r="162" spans="1:2" ht="12.75">
      <c r="A162" s="143" t="s">
        <v>186</v>
      </c>
      <c r="B162" s="142"/>
    </row>
    <row r="163" spans="1:2" ht="12.75">
      <c r="A163" s="142"/>
      <c r="B163" s="142"/>
    </row>
    <row r="164" spans="1:11" ht="15">
      <c r="A164" s="325" t="s">
        <v>216</v>
      </c>
      <c r="B164" s="325"/>
      <c r="C164" s="140">
        <f>+(C90+F90)/C174</f>
        <v>12.75</v>
      </c>
      <c r="D164" s="140">
        <f>+(C100+F100)/C174</f>
        <v>69.80000000000001</v>
      </c>
      <c r="E164" s="140">
        <f>(F117+C117)/C174</f>
        <v>31.126000000000005</v>
      </c>
      <c r="F164" s="140">
        <f>+F158</f>
        <v>31.8</v>
      </c>
      <c r="G164" s="140">
        <f>+(C131+F131)/C174</f>
        <v>7.462</v>
      </c>
      <c r="H164" s="141"/>
      <c r="I164" s="140">
        <f>+I158</f>
        <v>7.199999999999999</v>
      </c>
      <c r="J164" s="141"/>
      <c r="K164" s="139">
        <f>SUM(C164:J164)</f>
        <v>160.138</v>
      </c>
    </row>
    <row r="165" spans="1:11" ht="15.75">
      <c r="A165" s="144" t="s">
        <v>268</v>
      </c>
      <c r="K165" s="145"/>
    </row>
    <row r="166" ht="12.75">
      <c r="K166" s="51"/>
    </row>
    <row r="167" ht="12.75">
      <c r="A167" s="2"/>
    </row>
    <row r="169" spans="1:12" ht="12.75">
      <c r="A169" s="2" t="s">
        <v>187</v>
      </c>
      <c r="B169" s="2"/>
      <c r="C169" s="56">
        <f>(C164)*$C$174</f>
        <v>25.5</v>
      </c>
      <c r="D169" s="56">
        <f>(D157+D164)*$C174</f>
        <v>149.60000000000002</v>
      </c>
      <c r="E169" s="56">
        <f>(E157+E164)*$C174</f>
        <v>67.25200000000001</v>
      </c>
      <c r="F169" s="56">
        <f>(F157+F164)*$C174</f>
        <v>71.1</v>
      </c>
      <c r="G169" s="56">
        <f>(G157+G164)*$C174</f>
        <v>44.424</v>
      </c>
      <c r="H169" s="56">
        <f>(H157)*$C174</f>
        <v>0</v>
      </c>
      <c r="I169" s="56">
        <f>(I157+I164)*$C174</f>
        <v>162.53333333333333</v>
      </c>
      <c r="J169" s="56">
        <f>(J157)*$C174</f>
        <v>5</v>
      </c>
      <c r="K169" s="58">
        <f>SUM(C169:J169)</f>
        <v>525.4093333333333</v>
      </c>
      <c r="L169" s="51" t="s">
        <v>40</v>
      </c>
    </row>
    <row r="170" spans="1:12" ht="15">
      <c r="A170" s="2" t="s">
        <v>101</v>
      </c>
      <c r="B170" s="2"/>
      <c r="C170" s="56">
        <f aca="true" t="shared" si="3" ref="C170:J170">+C169/$C$175</f>
        <v>3.1875</v>
      </c>
      <c r="D170" s="56">
        <f t="shared" si="3"/>
        <v>18.700000000000003</v>
      </c>
      <c r="E170" s="56">
        <f t="shared" si="3"/>
        <v>8.406500000000001</v>
      </c>
      <c r="F170" s="56">
        <f t="shared" si="3"/>
        <v>8.8875</v>
      </c>
      <c r="G170" s="56">
        <f t="shared" si="3"/>
        <v>5.553</v>
      </c>
      <c r="H170" s="56">
        <f t="shared" si="3"/>
        <v>0</v>
      </c>
      <c r="I170" s="56">
        <f t="shared" si="3"/>
        <v>20.316666666666666</v>
      </c>
      <c r="J170" s="56">
        <f t="shared" si="3"/>
        <v>0.625</v>
      </c>
      <c r="K170" s="139">
        <f>SUM(C170:J170)</f>
        <v>65.67616666666666</v>
      </c>
      <c r="L170" s="51" t="s">
        <v>88</v>
      </c>
    </row>
    <row r="172" ht="12.75">
      <c r="K172" s="19" t="s">
        <v>41</v>
      </c>
    </row>
    <row r="174" spans="1:11" ht="15.75">
      <c r="A174" s="146" t="s">
        <v>188</v>
      </c>
      <c r="B174" s="78"/>
      <c r="C174" s="251">
        <v>2</v>
      </c>
      <c r="D174" s="78"/>
      <c r="G174" s="147" t="s">
        <v>42</v>
      </c>
      <c r="H174" s="319">
        <v>0.15</v>
      </c>
      <c r="J174" s="147" t="s">
        <v>89</v>
      </c>
      <c r="K174" s="149">
        <f>+K170*H174</f>
        <v>9.851424999999999</v>
      </c>
    </row>
    <row r="175" spans="1:11" ht="15">
      <c r="A175" s="146" t="s">
        <v>189</v>
      </c>
      <c r="B175" s="146"/>
      <c r="C175" s="251">
        <v>8</v>
      </c>
      <c r="D175" s="78" t="s">
        <v>20</v>
      </c>
      <c r="K175" s="19" t="s">
        <v>43</v>
      </c>
    </row>
    <row r="176" spans="10:11" ht="15.75">
      <c r="J176" s="148" t="s">
        <v>90</v>
      </c>
      <c r="K176" s="149">
        <f>+K174+K170</f>
        <v>75.52759166666667</v>
      </c>
    </row>
    <row r="177" ht="12.75">
      <c r="K177" s="19" t="s">
        <v>44</v>
      </c>
    </row>
    <row r="178" spans="10:11" ht="15.75">
      <c r="J178" s="148" t="s">
        <v>190</v>
      </c>
      <c r="K178" s="149">
        <f>+K176*C175/(C175-E22)*E22/C175</f>
        <v>30.16699725461613</v>
      </c>
    </row>
    <row r="179" ht="12.75">
      <c r="K179" s="19" t="s">
        <v>45</v>
      </c>
    </row>
    <row r="180" spans="10:11" ht="15.75">
      <c r="J180" s="148" t="s">
        <v>191</v>
      </c>
      <c r="K180" s="149">
        <f>+K178+K176</f>
        <v>105.6945889212828</v>
      </c>
    </row>
    <row r="181" ht="14.25">
      <c r="I181" s="102"/>
    </row>
    <row r="182" ht="15.75">
      <c r="E182" s="148"/>
    </row>
    <row r="184" ht="16.5" thickBot="1">
      <c r="C184" s="150"/>
    </row>
    <row r="185" spans="2:7" ht="23.25" customHeight="1" thickBot="1" thickTop="1">
      <c r="B185" s="351" t="s">
        <v>96</v>
      </c>
      <c r="C185" s="352"/>
      <c r="D185" s="352"/>
      <c r="E185" s="352"/>
      <c r="F185" s="352"/>
      <c r="G185" s="353"/>
    </row>
    <row r="186" spans="2:11" ht="22.5" customHeight="1" thickBot="1">
      <c r="B186" s="346" t="s">
        <v>46</v>
      </c>
      <c r="C186" s="347"/>
      <c r="D186" s="347"/>
      <c r="E186" s="348"/>
      <c r="F186" s="288" t="s">
        <v>47</v>
      </c>
      <c r="G186" s="349" t="s">
        <v>48</v>
      </c>
      <c r="J186" s="152">
        <f>+F84+B84</f>
        <v>1179</v>
      </c>
      <c r="K186" t="s">
        <v>13</v>
      </c>
    </row>
    <row r="187" spans="2:7" ht="18.75" customHeight="1" thickBot="1">
      <c r="B187" s="285" t="s">
        <v>49</v>
      </c>
      <c r="C187" s="286" t="s">
        <v>50</v>
      </c>
      <c r="D187" s="332" t="s">
        <v>277</v>
      </c>
      <c r="E187" s="333"/>
      <c r="F187" s="287" t="s">
        <v>51</v>
      </c>
      <c r="G187" s="350"/>
    </row>
    <row r="188" spans="2:11" ht="21" customHeight="1" thickBot="1">
      <c r="B188" s="153">
        <f>+K170</f>
        <v>65.67616666666666</v>
      </c>
      <c r="C188" s="80">
        <f>+K174</f>
        <v>9.851424999999999</v>
      </c>
      <c r="D188" s="334">
        <f>+K176</f>
        <v>75.52759166666667</v>
      </c>
      <c r="E188" s="331"/>
      <c r="F188" s="154">
        <f>+K178</f>
        <v>30.16699725461613</v>
      </c>
      <c r="G188" s="155">
        <f>+D188+F188</f>
        <v>105.6945889212828</v>
      </c>
      <c r="H188" s="338" t="s">
        <v>52</v>
      </c>
      <c r="I188" s="339"/>
      <c r="J188" s="156">
        <f>+J186/G188</f>
        <v>11.154781072833096</v>
      </c>
      <c r="K188" t="s">
        <v>102</v>
      </c>
    </row>
    <row r="189" spans="2:7" ht="21" customHeight="1" thickTop="1">
      <c r="B189" s="157">
        <f>+B188/$G$188</f>
        <v>0.6213768115942028</v>
      </c>
      <c r="C189" s="157">
        <f>+C188/$G$188</f>
        <v>0.09320652173913042</v>
      </c>
      <c r="D189" s="340">
        <f>+C189+B189</f>
        <v>0.7145833333333332</v>
      </c>
      <c r="E189" s="341"/>
      <c r="F189" s="157">
        <f>+F188/$G$188</f>
        <v>0.28541666666666665</v>
      </c>
      <c r="G189" s="158">
        <f>+F189+D189</f>
        <v>0.9999999999999999</v>
      </c>
    </row>
    <row r="190" spans="1:9" ht="15.75">
      <c r="A190" s="18"/>
      <c r="B190" s="18"/>
      <c r="I190" s="2"/>
    </row>
    <row r="191" spans="1:6" ht="12.75">
      <c r="A191" s="14"/>
      <c r="B191" s="14"/>
      <c r="F191" s="2"/>
    </row>
    <row r="192" ht="12.75">
      <c r="I192" s="2"/>
    </row>
    <row r="193" spans="1:9" ht="15.75">
      <c r="A193" s="18"/>
      <c r="B193" s="18"/>
      <c r="I193" s="2"/>
    </row>
  </sheetData>
  <mergeCells count="81">
    <mergeCell ref="I124:K124"/>
    <mergeCell ref="J121:K121"/>
    <mergeCell ref="J122:K122"/>
    <mergeCell ref="C10:C11"/>
    <mergeCell ref="D10:D11"/>
    <mergeCell ref="E10:E11"/>
    <mergeCell ref="H10:K11"/>
    <mergeCell ref="C28:C29"/>
    <mergeCell ref="D28:D29"/>
    <mergeCell ref="E28:E29"/>
    <mergeCell ref="C37:C38"/>
    <mergeCell ref="C48:C49"/>
    <mergeCell ref="D48:D49"/>
    <mergeCell ref="E48:E49"/>
    <mergeCell ref="D37:D38"/>
    <mergeCell ref="E37:E38"/>
    <mergeCell ref="I28:I29"/>
    <mergeCell ref="J28:J29"/>
    <mergeCell ref="K28:K29"/>
    <mergeCell ref="G54:H54"/>
    <mergeCell ref="I48:I49"/>
    <mergeCell ref="G55:H55"/>
    <mergeCell ref="J48:J49"/>
    <mergeCell ref="K48:K49"/>
    <mergeCell ref="G50:H50"/>
    <mergeCell ref="G51:H51"/>
    <mergeCell ref="B78:C78"/>
    <mergeCell ref="E78:F78"/>
    <mergeCell ref="B79:C79"/>
    <mergeCell ref="E79:F79"/>
    <mergeCell ref="F87:F89"/>
    <mergeCell ref="G92:K92"/>
    <mergeCell ref="I93:I94"/>
    <mergeCell ref="J93:J94"/>
    <mergeCell ref="K93:K94"/>
    <mergeCell ref="G95:H95"/>
    <mergeCell ref="B96:B97"/>
    <mergeCell ref="E96:E97"/>
    <mergeCell ref="G96:H96"/>
    <mergeCell ref="G97:H97"/>
    <mergeCell ref="G101:K101"/>
    <mergeCell ref="H102:J102"/>
    <mergeCell ref="H105:J105"/>
    <mergeCell ref="G110:K110"/>
    <mergeCell ref="G112:J113"/>
    <mergeCell ref="K112:K113"/>
    <mergeCell ref="G116:J116"/>
    <mergeCell ref="K116:K117"/>
    <mergeCell ref="G117:J117"/>
    <mergeCell ref="G119:K119"/>
    <mergeCell ref="G120:G121"/>
    <mergeCell ref="H120:H121"/>
    <mergeCell ref="I120:I121"/>
    <mergeCell ref="B129:B130"/>
    <mergeCell ref="E129:E130"/>
    <mergeCell ref="F129:F130"/>
    <mergeCell ref="G130:K130"/>
    <mergeCell ref="I125:K125"/>
    <mergeCell ref="J133:K133"/>
    <mergeCell ref="F132:F133"/>
    <mergeCell ref="G134:H134"/>
    <mergeCell ref="J134:K134"/>
    <mergeCell ref="I126:J126"/>
    <mergeCell ref="A158:B158"/>
    <mergeCell ref="A164:B164"/>
    <mergeCell ref="B185:G185"/>
    <mergeCell ref="H136:J136"/>
    <mergeCell ref="B142:C142"/>
    <mergeCell ref="I151:I156"/>
    <mergeCell ref="A155:B155"/>
    <mergeCell ref="A156:B156"/>
    <mergeCell ref="A89:A90"/>
    <mergeCell ref="H188:I188"/>
    <mergeCell ref="D189:E189"/>
    <mergeCell ref="G52:H52"/>
    <mergeCell ref="G53:H53"/>
    <mergeCell ref="B186:E186"/>
    <mergeCell ref="G186:G187"/>
    <mergeCell ref="D187:E187"/>
    <mergeCell ref="D188:E188"/>
    <mergeCell ref="A157:B157"/>
  </mergeCells>
  <printOptions/>
  <pageMargins left="0.75" right="0.75" top="1" bottom="1" header="0.5" footer="0.5"/>
  <pageSetup cellComments="asDisplayed" horizontalDpi="600" verticalDpi="600" orientation="landscape" scale="67" r:id="rId4"/>
  <headerFooter alignWithMargins="0">
    <oddFooter>&amp;LFichier : &amp;F
Onglet : &amp;A
Page &amp;P de &amp;N&amp;CMine-laboratoire
Val-d'Or&amp;R&amp;D
&amp;T</oddFooter>
  </headerFooter>
  <rowBreaks count="2" manualBreakCount="2">
    <brk id="108" max="11" man="1"/>
    <brk id="150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2"/>
  <sheetViews>
    <sheetView zoomScale="75" zoomScaleNormal="75" workbookViewId="0" topLeftCell="B1">
      <selection activeCell="A4" sqref="A4"/>
    </sheetView>
  </sheetViews>
  <sheetFormatPr defaultColWidth="9.140625" defaultRowHeight="12.75"/>
  <cols>
    <col min="1" max="1" width="25.8515625" style="0" customWidth="1"/>
    <col min="2" max="2" width="14.7109375" style="0" customWidth="1"/>
    <col min="3" max="3" width="14.8515625" style="0" customWidth="1"/>
    <col min="4" max="4" width="12.00390625" style="0" customWidth="1"/>
    <col min="5" max="5" width="14.57421875" style="0" customWidth="1"/>
    <col min="6" max="6" width="17.28125" style="0" customWidth="1"/>
    <col min="7" max="7" width="13.140625" style="0" customWidth="1"/>
    <col min="8" max="8" width="17.00390625" style="0" customWidth="1"/>
    <col min="9" max="9" width="12.14062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2" t="s">
        <v>192</v>
      </c>
    </row>
    <row r="3" spans="1:2" ht="36.75">
      <c r="A3" s="12" t="s">
        <v>299</v>
      </c>
      <c r="B3" s="12"/>
    </row>
    <row r="4" spans="1:11" ht="32.25" customHeight="1" thickBot="1">
      <c r="A4" s="179"/>
      <c r="B4" s="179"/>
      <c r="C4" s="180"/>
      <c r="D4" s="180"/>
      <c r="E4" s="180"/>
      <c r="F4" s="180"/>
      <c r="G4" s="180"/>
      <c r="H4" s="241"/>
      <c r="I4" s="240" t="s">
        <v>341</v>
      </c>
      <c r="J4" s="180"/>
      <c r="K4" s="180"/>
    </row>
    <row r="5" ht="13.5" thickTop="1"/>
    <row r="6" spans="1:2" ht="22.5" customHeight="1">
      <c r="A6" s="82" t="s">
        <v>80</v>
      </c>
      <c r="B6" s="83"/>
    </row>
    <row r="7" spans="1:2" ht="9.75" customHeight="1" thickBot="1">
      <c r="A7" s="83"/>
      <c r="B7" s="83"/>
    </row>
    <row r="8" spans="1:11" ht="18" customHeight="1">
      <c r="A8" s="83"/>
      <c r="B8" s="83"/>
      <c r="C8" s="426" t="s">
        <v>297</v>
      </c>
      <c r="D8" s="422" t="s">
        <v>131</v>
      </c>
      <c r="E8" s="424" t="s">
        <v>85</v>
      </c>
      <c r="H8" s="435" t="s">
        <v>29</v>
      </c>
      <c r="I8" s="436"/>
      <c r="J8" s="436"/>
      <c r="K8" s="437"/>
    </row>
    <row r="9" spans="1:11" ht="11.25" customHeight="1" thickBot="1">
      <c r="A9" s="83"/>
      <c r="B9" s="83"/>
      <c r="C9" s="427"/>
      <c r="D9" s="423"/>
      <c r="E9" s="425"/>
      <c r="H9" s="438"/>
      <c r="I9" s="439"/>
      <c r="J9" s="439"/>
      <c r="K9" s="440"/>
    </row>
    <row r="10" spans="1:11" ht="15" customHeight="1">
      <c r="A10" s="84" t="s">
        <v>76</v>
      </c>
      <c r="B10" s="84"/>
      <c r="C10" s="250">
        <v>2</v>
      </c>
      <c r="D10" s="250">
        <v>10</v>
      </c>
      <c r="E10" s="85">
        <f>+D10*C10</f>
        <v>20</v>
      </c>
      <c r="H10" s="89"/>
      <c r="I10" s="87"/>
      <c r="J10" s="87"/>
      <c r="K10" s="88"/>
    </row>
    <row r="11" spans="1:11" ht="15" customHeight="1">
      <c r="A11" s="84" t="s">
        <v>121</v>
      </c>
      <c r="B11" s="84"/>
      <c r="C11" s="250">
        <v>2</v>
      </c>
      <c r="D11" s="250">
        <v>5</v>
      </c>
      <c r="E11" s="85">
        <f>+D11*C11</f>
        <v>10</v>
      </c>
      <c r="H11" s="89"/>
      <c r="I11" s="90"/>
      <c r="J11" s="90"/>
      <c r="K11" s="91"/>
    </row>
    <row r="12" spans="1:11" ht="15" customHeight="1">
      <c r="A12" s="84" t="s">
        <v>122</v>
      </c>
      <c r="B12" s="84"/>
      <c r="C12" s="250"/>
      <c r="D12" s="250"/>
      <c r="E12" s="85">
        <f aca="true" t="shared" si="0" ref="E12:E18">+D12*C12</f>
        <v>0</v>
      </c>
      <c r="F12" s="16"/>
      <c r="H12" s="89"/>
      <c r="I12" s="90"/>
      <c r="J12" s="90"/>
      <c r="K12" s="91"/>
    </row>
    <row r="13" spans="1:11" ht="15" customHeight="1">
      <c r="A13" s="84" t="s">
        <v>77</v>
      </c>
      <c r="B13" s="84"/>
      <c r="C13" s="250">
        <v>4</v>
      </c>
      <c r="D13" s="250">
        <v>10</v>
      </c>
      <c r="E13" s="85">
        <f t="shared" si="0"/>
        <v>40</v>
      </c>
      <c r="H13" s="89"/>
      <c r="I13" s="90"/>
      <c r="J13" s="90"/>
      <c r="K13" s="91"/>
    </row>
    <row r="14" spans="1:11" ht="15" customHeight="1">
      <c r="A14" s="84" t="s">
        <v>78</v>
      </c>
      <c r="B14" s="84"/>
      <c r="C14" s="250">
        <v>1</v>
      </c>
      <c r="D14" s="250">
        <v>15</v>
      </c>
      <c r="E14" s="85">
        <f t="shared" si="0"/>
        <v>15</v>
      </c>
      <c r="H14" s="89"/>
      <c r="I14" s="90"/>
      <c r="J14" s="90"/>
      <c r="K14" s="91"/>
    </row>
    <row r="15" spans="1:11" ht="15" customHeight="1">
      <c r="A15" s="84" t="s">
        <v>79</v>
      </c>
      <c r="B15" s="84"/>
      <c r="C15" s="250">
        <v>1</v>
      </c>
      <c r="D15" s="250">
        <v>10</v>
      </c>
      <c r="E15" s="85">
        <f t="shared" si="0"/>
        <v>10</v>
      </c>
      <c r="H15" s="89"/>
      <c r="I15" s="90"/>
      <c r="J15" s="90"/>
      <c r="K15" s="91"/>
    </row>
    <row r="16" spans="1:11" ht="15" customHeight="1">
      <c r="A16" s="84" t="s">
        <v>123</v>
      </c>
      <c r="B16" s="84"/>
      <c r="C16" s="250">
        <v>1</v>
      </c>
      <c r="D16" s="250">
        <v>12</v>
      </c>
      <c r="E16" s="85">
        <f t="shared" si="0"/>
        <v>12</v>
      </c>
      <c r="H16" s="89"/>
      <c r="I16" s="90"/>
      <c r="J16" s="90"/>
      <c r="K16" s="91"/>
    </row>
    <row r="17" spans="1:11" ht="15" customHeight="1">
      <c r="A17" s="84" t="s">
        <v>10</v>
      </c>
      <c r="B17" s="84"/>
      <c r="C17" s="250">
        <v>1</v>
      </c>
      <c r="D17" s="250">
        <v>30</v>
      </c>
      <c r="E17" s="85">
        <f t="shared" si="0"/>
        <v>30</v>
      </c>
      <c r="H17" s="89"/>
      <c r="I17" s="90"/>
      <c r="J17" s="90"/>
      <c r="K17" s="91"/>
    </row>
    <row r="18" spans="1:11" ht="15" customHeight="1" thickBot="1">
      <c r="A18" s="269"/>
      <c r="B18" s="269"/>
      <c r="C18" s="250"/>
      <c r="D18" s="250"/>
      <c r="E18" s="92">
        <f t="shared" si="0"/>
        <v>0</v>
      </c>
      <c r="H18" s="89"/>
      <c r="I18" s="90"/>
      <c r="J18" s="90"/>
      <c r="K18" s="91"/>
    </row>
    <row r="19" spans="1:11" ht="15.75" thickBot="1">
      <c r="A19" s="93"/>
      <c r="B19" s="93"/>
      <c r="C19" s="93"/>
      <c r="D19" s="93"/>
      <c r="E19" s="94">
        <f>SUM(E10:E18)</f>
        <v>137</v>
      </c>
      <c r="F19" s="61" t="s">
        <v>64</v>
      </c>
      <c r="H19" s="95"/>
      <c r="I19" s="96"/>
      <c r="J19" s="96"/>
      <c r="K19" s="97"/>
    </row>
    <row r="20" spans="1:6" ht="14.25">
      <c r="A20" s="93"/>
      <c r="B20" s="93"/>
      <c r="C20" s="93"/>
      <c r="D20" s="93"/>
      <c r="E20" s="98">
        <f>+E19/60</f>
        <v>2.283333333333333</v>
      </c>
      <c r="F20" s="61" t="s">
        <v>21</v>
      </c>
    </row>
    <row r="21" spans="1:5" ht="14.25">
      <c r="A21" s="93"/>
      <c r="B21" s="93"/>
      <c r="C21" s="93"/>
      <c r="D21" s="93"/>
      <c r="E21" s="93"/>
    </row>
    <row r="22" spans="1:5" ht="14.25">
      <c r="A22" s="93"/>
      <c r="B22" s="93"/>
      <c r="C22" s="93"/>
      <c r="D22" s="93"/>
      <c r="E22" s="93"/>
    </row>
    <row r="23" spans="1:11" ht="15" thickBot="1">
      <c r="A23" s="99"/>
      <c r="B23" s="99"/>
      <c r="C23" s="99"/>
      <c r="D23" s="99"/>
      <c r="E23" s="99"/>
      <c r="F23" s="38"/>
      <c r="G23" s="38"/>
      <c r="H23" s="38"/>
      <c r="I23" s="38"/>
      <c r="J23" s="38"/>
      <c r="K23" s="38"/>
    </row>
    <row r="24" spans="1:4" ht="12.75">
      <c r="A24" s="2"/>
      <c r="B24" s="2"/>
      <c r="C24" s="2"/>
      <c r="D24" s="2"/>
    </row>
    <row r="25" spans="1:5" ht="23.25">
      <c r="A25" s="82" t="s">
        <v>193</v>
      </c>
      <c r="B25" s="83"/>
      <c r="C25" s="2"/>
      <c r="D25" s="2"/>
      <c r="E25" s="2"/>
    </row>
    <row r="26" spans="1:5" ht="21" thickBot="1">
      <c r="A26" s="83"/>
      <c r="B26" s="83"/>
      <c r="C26" s="2"/>
      <c r="D26" s="2"/>
      <c r="E26" s="2"/>
    </row>
    <row r="27" spans="1:11" ht="17.25" customHeight="1">
      <c r="A27" s="103" t="s">
        <v>31</v>
      </c>
      <c r="C27" s="426" t="s">
        <v>297</v>
      </c>
      <c r="D27" s="422" t="s">
        <v>131</v>
      </c>
      <c r="E27" s="424" t="s">
        <v>85</v>
      </c>
      <c r="G27" s="281" t="s">
        <v>202</v>
      </c>
      <c r="H27" s="83"/>
      <c r="I27" s="426" t="s">
        <v>297</v>
      </c>
      <c r="J27" s="422" t="s">
        <v>131</v>
      </c>
      <c r="K27" s="424" t="s">
        <v>85</v>
      </c>
    </row>
    <row r="28" spans="1:11" ht="18.75" thickBot="1">
      <c r="A28" s="103" t="s">
        <v>32</v>
      </c>
      <c r="C28" s="427"/>
      <c r="D28" s="423"/>
      <c r="E28" s="425"/>
      <c r="G28" s="281" t="s">
        <v>22</v>
      </c>
      <c r="H28" s="100"/>
      <c r="I28" s="427"/>
      <c r="J28" s="423"/>
      <c r="K28" s="425"/>
    </row>
    <row r="29" spans="1:12" ht="14.25">
      <c r="A29" s="84" t="s">
        <v>302</v>
      </c>
      <c r="B29" s="61"/>
      <c r="C29" s="250">
        <v>1</v>
      </c>
      <c r="D29" s="250">
        <v>10</v>
      </c>
      <c r="E29" s="85">
        <f>+D29*C29</f>
        <v>10</v>
      </c>
      <c r="G29" s="282" t="s">
        <v>124</v>
      </c>
      <c r="H29" s="84"/>
      <c r="I29" s="250">
        <v>1</v>
      </c>
      <c r="J29" s="250">
        <v>5</v>
      </c>
      <c r="K29" s="85">
        <f aca="true" t="shared" si="1" ref="K29:K35">+J29*I29</f>
        <v>5</v>
      </c>
      <c r="L29" s="61"/>
    </row>
    <row r="30" spans="1:12" ht="14.25">
      <c r="A30" s="84" t="s">
        <v>129</v>
      </c>
      <c r="B30" s="61"/>
      <c r="C30" s="250"/>
      <c r="D30" s="250"/>
      <c r="E30" s="85">
        <f>+D30*C30</f>
        <v>0</v>
      </c>
      <c r="G30" s="282" t="s">
        <v>125</v>
      </c>
      <c r="H30" s="84"/>
      <c r="I30" s="250">
        <v>1</v>
      </c>
      <c r="J30" s="250">
        <v>6</v>
      </c>
      <c r="K30" s="85">
        <f t="shared" si="1"/>
        <v>6</v>
      </c>
      <c r="L30" s="61"/>
    </row>
    <row r="31" spans="1:12" ht="14.25">
      <c r="A31" s="84" t="s">
        <v>91</v>
      </c>
      <c r="C31" s="250">
        <v>1</v>
      </c>
      <c r="D31" s="250">
        <v>5</v>
      </c>
      <c r="E31" s="85">
        <f>+D31*C31</f>
        <v>5</v>
      </c>
      <c r="G31" s="282" t="s">
        <v>306</v>
      </c>
      <c r="H31" s="84"/>
      <c r="I31" s="250">
        <v>1</v>
      </c>
      <c r="J31" s="250">
        <v>5</v>
      </c>
      <c r="K31" s="85">
        <f t="shared" si="1"/>
        <v>5</v>
      </c>
      <c r="L31" s="61"/>
    </row>
    <row r="32" spans="1:11" ht="15" thickBot="1">
      <c r="A32" s="261"/>
      <c r="B32" s="262"/>
      <c r="C32" s="250"/>
      <c r="D32" s="250"/>
      <c r="E32" s="85">
        <f>+D32*C32</f>
        <v>0</v>
      </c>
      <c r="G32" s="282" t="s">
        <v>126</v>
      </c>
      <c r="H32" s="84"/>
      <c r="I32" s="250"/>
      <c r="J32" s="250"/>
      <c r="K32" s="85">
        <f t="shared" si="1"/>
        <v>0</v>
      </c>
    </row>
    <row r="33" spans="1:11" ht="15" thickBot="1">
      <c r="A33" s="104"/>
      <c r="B33" s="61"/>
      <c r="C33" s="93"/>
      <c r="D33" s="102" t="s">
        <v>130</v>
      </c>
      <c r="E33" s="94">
        <f>SUM(E29:E32)</f>
        <v>15</v>
      </c>
      <c r="G33" s="282" t="s">
        <v>305</v>
      </c>
      <c r="H33" s="84"/>
      <c r="I33" s="250">
        <v>1</v>
      </c>
      <c r="J33" s="250">
        <v>10</v>
      </c>
      <c r="K33" s="85">
        <f t="shared" si="1"/>
        <v>10</v>
      </c>
    </row>
    <row r="34" spans="1:11" ht="14.25">
      <c r="A34" s="61"/>
      <c r="B34" s="61"/>
      <c r="C34" s="289"/>
      <c r="D34" s="102" t="s">
        <v>84</v>
      </c>
      <c r="E34" s="98">
        <f>+E33/60</f>
        <v>0.25</v>
      </c>
      <c r="G34" s="282" t="s">
        <v>81</v>
      </c>
      <c r="H34" s="84"/>
      <c r="I34" s="250">
        <v>1</v>
      </c>
      <c r="J34" s="250">
        <v>8</v>
      </c>
      <c r="K34" s="85">
        <f t="shared" si="1"/>
        <v>8</v>
      </c>
    </row>
    <row r="35" spans="7:11" ht="15.75" customHeight="1" thickBot="1">
      <c r="G35" s="282" t="s">
        <v>82</v>
      </c>
      <c r="H35" s="84"/>
      <c r="I35" s="250">
        <v>1</v>
      </c>
      <c r="J35" s="250">
        <v>5</v>
      </c>
      <c r="K35" s="85">
        <f t="shared" si="1"/>
        <v>5</v>
      </c>
    </row>
    <row r="36" spans="3:11" ht="14.25" customHeight="1">
      <c r="C36" s="426" t="s">
        <v>297</v>
      </c>
      <c r="D36" s="422" t="s">
        <v>131</v>
      </c>
      <c r="E36" s="424" t="s">
        <v>85</v>
      </c>
      <c r="F36" s="61"/>
      <c r="G36" s="282" t="s">
        <v>120</v>
      </c>
      <c r="H36" s="84"/>
      <c r="I36" s="250">
        <v>1</v>
      </c>
      <c r="J36" s="250">
        <v>5</v>
      </c>
      <c r="K36" s="85">
        <f>+J36*I36</f>
        <v>5</v>
      </c>
    </row>
    <row r="37" spans="1:12" ht="18.75" thickBot="1">
      <c r="A37" s="101" t="s">
        <v>30</v>
      </c>
      <c r="B37" s="2"/>
      <c r="C37" s="427"/>
      <c r="D37" s="423"/>
      <c r="E37" s="425"/>
      <c r="G37" s="282" t="s">
        <v>132</v>
      </c>
      <c r="H37" s="84"/>
      <c r="I37" s="250">
        <v>1</v>
      </c>
      <c r="J37" s="250">
        <v>15</v>
      </c>
      <c r="K37" s="85">
        <f>+J37*I37</f>
        <v>15</v>
      </c>
      <c r="L37" s="61"/>
    </row>
    <row r="38" spans="1:12" ht="14.25">
      <c r="A38" s="84" t="s">
        <v>307</v>
      </c>
      <c r="B38" s="61"/>
      <c r="C38" s="250">
        <v>1</v>
      </c>
      <c r="D38" s="250">
        <v>5</v>
      </c>
      <c r="E38" s="85">
        <f>+D38*C38</f>
        <v>5</v>
      </c>
      <c r="G38" s="283"/>
      <c r="H38" s="257"/>
      <c r="I38" s="250"/>
      <c r="J38" s="250"/>
      <c r="K38" s="85">
        <f>+J38*I38</f>
        <v>0</v>
      </c>
      <c r="L38" s="61"/>
    </row>
    <row r="39" spans="1:12" ht="15" thickBot="1">
      <c r="A39" s="84" t="s">
        <v>304</v>
      </c>
      <c r="B39" s="61"/>
      <c r="C39" s="250">
        <v>1</v>
      </c>
      <c r="D39" s="250">
        <v>5</v>
      </c>
      <c r="E39" s="85">
        <f>+D39*C39</f>
        <v>5</v>
      </c>
      <c r="F39" s="61"/>
      <c r="G39" s="283"/>
      <c r="H39" s="257"/>
      <c r="I39" s="250"/>
      <c r="J39" s="250"/>
      <c r="K39" s="85">
        <f>+J39*I39</f>
        <v>0</v>
      </c>
      <c r="L39" s="61"/>
    </row>
    <row r="40" spans="1:11" ht="15" thickBot="1">
      <c r="A40" s="261"/>
      <c r="B40" s="262"/>
      <c r="C40" s="250"/>
      <c r="D40" s="250"/>
      <c r="E40" s="85">
        <f>+D40*C40</f>
        <v>0</v>
      </c>
      <c r="G40" s="104"/>
      <c r="H40" s="104"/>
      <c r="I40" s="93"/>
      <c r="J40" s="102" t="s">
        <v>133</v>
      </c>
      <c r="K40" s="94">
        <f>SUM(K29:K39)</f>
        <v>59</v>
      </c>
    </row>
    <row r="41" spans="1:11" ht="15" thickBot="1">
      <c r="A41" s="61"/>
      <c r="B41" s="61"/>
      <c r="C41" s="61"/>
      <c r="D41" s="102" t="s">
        <v>130</v>
      </c>
      <c r="E41" s="94">
        <f>SUM(E38:E40)</f>
        <v>10</v>
      </c>
      <c r="G41" s="104"/>
      <c r="H41" s="104"/>
      <c r="I41" s="93"/>
      <c r="J41" s="102" t="s">
        <v>83</v>
      </c>
      <c r="K41" s="98">
        <f>+K40/60</f>
        <v>0.9833333333333333</v>
      </c>
    </row>
    <row r="42" spans="1:5" ht="14.25">
      <c r="A42" s="61"/>
      <c r="B42" s="61"/>
      <c r="C42" s="61"/>
      <c r="D42" s="102" t="s">
        <v>84</v>
      </c>
      <c r="E42" s="98">
        <f>+E41/60</f>
        <v>0.16666666666666666</v>
      </c>
    </row>
    <row r="43" spans="1:11" ht="13.5" thickBo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ht="23.25">
      <c r="A45" s="82" t="s">
        <v>136</v>
      </c>
    </row>
    <row r="47" ht="18.75" thickBot="1">
      <c r="A47" s="105" t="s">
        <v>56</v>
      </c>
    </row>
    <row r="48" spans="1:11" ht="18" customHeight="1">
      <c r="A48" s="105" t="s">
        <v>92</v>
      </c>
      <c r="C48" s="426" t="s">
        <v>297</v>
      </c>
      <c r="D48" s="422" t="s">
        <v>131</v>
      </c>
      <c r="E48" s="424" t="s">
        <v>85</v>
      </c>
      <c r="G48" s="103" t="s">
        <v>203</v>
      </c>
      <c r="I48" s="426" t="s">
        <v>297</v>
      </c>
      <c r="J48" s="422" t="s">
        <v>131</v>
      </c>
      <c r="K48" s="424" t="s">
        <v>85</v>
      </c>
    </row>
    <row r="49" spans="1:11" ht="18.75" thickBot="1">
      <c r="A49" s="106"/>
      <c r="B49" s="107"/>
      <c r="C49" s="427"/>
      <c r="D49" s="423"/>
      <c r="E49" s="425"/>
      <c r="G49" s="103" t="s">
        <v>204</v>
      </c>
      <c r="I49" s="427"/>
      <c r="J49" s="423"/>
      <c r="K49" s="425"/>
    </row>
    <row r="50" spans="1:12" ht="12.75" customHeight="1">
      <c r="A50" s="84" t="s">
        <v>86</v>
      </c>
      <c r="C50" s="250">
        <v>2</v>
      </c>
      <c r="D50" s="250">
        <v>30</v>
      </c>
      <c r="E50" s="85">
        <f aca="true" t="shared" si="2" ref="E50:E59">+D50*C50</f>
        <v>60</v>
      </c>
      <c r="F50" s="61"/>
      <c r="G50" s="342" t="s">
        <v>138</v>
      </c>
      <c r="H50" s="343"/>
      <c r="I50" s="259">
        <v>2</v>
      </c>
      <c r="J50" s="250">
        <v>20</v>
      </c>
      <c r="K50" s="85">
        <f aca="true" t="shared" si="3" ref="K50:K55">+J50*I50</f>
        <v>40</v>
      </c>
      <c r="L50" s="61"/>
    </row>
    <row r="51" spans="1:12" ht="14.25">
      <c r="A51" s="84" t="s">
        <v>87</v>
      </c>
      <c r="C51" s="250">
        <v>3</v>
      </c>
      <c r="D51" s="250">
        <f>6*60</f>
        <v>360</v>
      </c>
      <c r="E51" s="85">
        <f t="shared" si="2"/>
        <v>1080</v>
      </c>
      <c r="F51" s="61"/>
      <c r="G51" s="342" t="s">
        <v>139</v>
      </c>
      <c r="H51" s="343"/>
      <c r="I51" s="259">
        <v>1</v>
      </c>
      <c r="J51" s="250">
        <v>30</v>
      </c>
      <c r="K51" s="85">
        <f t="shared" si="3"/>
        <v>30</v>
      </c>
      <c r="L51" s="61"/>
    </row>
    <row r="52" spans="1:12" ht="14.25">
      <c r="A52" s="84" t="s">
        <v>93</v>
      </c>
      <c r="C52" s="250">
        <v>3</v>
      </c>
      <c r="D52" s="250">
        <f>6*60</f>
        <v>360</v>
      </c>
      <c r="E52" s="85">
        <f t="shared" si="2"/>
        <v>1080</v>
      </c>
      <c r="F52" s="61"/>
      <c r="G52" s="342" t="s">
        <v>140</v>
      </c>
      <c r="H52" s="343"/>
      <c r="I52" s="250">
        <v>1</v>
      </c>
      <c r="J52" s="250">
        <v>30</v>
      </c>
      <c r="K52" s="85">
        <f t="shared" si="3"/>
        <v>30</v>
      </c>
      <c r="L52" s="61"/>
    </row>
    <row r="53" spans="1:12" ht="14.25">
      <c r="A53" s="84" t="s">
        <v>310</v>
      </c>
      <c r="C53" s="250">
        <v>3</v>
      </c>
      <c r="D53" s="250">
        <f>6*60</f>
        <v>360</v>
      </c>
      <c r="E53" s="85">
        <f t="shared" si="2"/>
        <v>1080</v>
      </c>
      <c r="F53" s="61"/>
      <c r="G53" s="344" t="s">
        <v>141</v>
      </c>
      <c r="H53" s="345"/>
      <c r="I53" s="250">
        <v>1</v>
      </c>
      <c r="J53" s="250">
        <v>10</v>
      </c>
      <c r="K53" s="85">
        <f>+J53*I53</f>
        <v>10</v>
      </c>
      <c r="L53" s="61"/>
    </row>
    <row r="54" spans="1:11" ht="14.25">
      <c r="A54" s="84" t="s">
        <v>137</v>
      </c>
      <c r="C54" s="250">
        <v>2</v>
      </c>
      <c r="D54" s="250">
        <f>5*60</f>
        <v>300</v>
      </c>
      <c r="E54" s="85">
        <f t="shared" si="2"/>
        <v>600</v>
      </c>
      <c r="F54" s="61"/>
      <c r="G54" s="420"/>
      <c r="H54" s="421"/>
      <c r="I54" s="259"/>
      <c r="J54" s="250"/>
      <c r="K54" s="92">
        <f>+J54*I54</f>
        <v>0</v>
      </c>
    </row>
    <row r="55" spans="1:11" ht="15" thickBot="1">
      <c r="A55" s="84" t="s">
        <v>112</v>
      </c>
      <c r="C55" s="250">
        <v>2</v>
      </c>
      <c r="D55" s="250">
        <f>60*3</f>
        <v>180</v>
      </c>
      <c r="E55" s="85">
        <f t="shared" si="2"/>
        <v>360</v>
      </c>
      <c r="F55" s="61"/>
      <c r="G55" s="420"/>
      <c r="H55" s="421"/>
      <c r="I55" s="259"/>
      <c r="J55" s="250"/>
      <c r="K55" s="92">
        <f t="shared" si="3"/>
        <v>0</v>
      </c>
    </row>
    <row r="56" spans="1:11" ht="15" thickBot="1">
      <c r="A56" s="84" t="s">
        <v>242</v>
      </c>
      <c r="C56" s="250">
        <v>2</v>
      </c>
      <c r="D56" s="250">
        <v>20</v>
      </c>
      <c r="E56" s="85">
        <f t="shared" si="2"/>
        <v>40</v>
      </c>
      <c r="G56" s="61"/>
      <c r="H56" s="61"/>
      <c r="I56" s="61"/>
      <c r="J56" s="102" t="s">
        <v>64</v>
      </c>
      <c r="K56" s="94">
        <f>SUM(K50:K55)</f>
        <v>110</v>
      </c>
    </row>
    <row r="57" spans="1:11" ht="14.25">
      <c r="A57" s="84" t="s">
        <v>322</v>
      </c>
      <c r="C57" s="250">
        <v>6</v>
      </c>
      <c r="D57" s="250">
        <v>7</v>
      </c>
      <c r="E57" s="85">
        <f t="shared" si="2"/>
        <v>42</v>
      </c>
      <c r="G57" s="61"/>
      <c r="H57" s="61"/>
      <c r="I57" s="61"/>
      <c r="J57" s="102" t="s">
        <v>20</v>
      </c>
      <c r="K57" s="182">
        <f>+K56/60</f>
        <v>1.8333333333333333</v>
      </c>
    </row>
    <row r="58" spans="1:10" ht="14.25">
      <c r="A58" s="84" t="s">
        <v>323</v>
      </c>
      <c r="C58" s="250">
        <v>6</v>
      </c>
      <c r="D58" s="250">
        <v>12</v>
      </c>
      <c r="E58" s="85">
        <f t="shared" si="2"/>
        <v>72</v>
      </c>
      <c r="F58" s="61"/>
      <c r="G58" s="61"/>
      <c r="H58" s="61"/>
      <c r="I58" s="61"/>
      <c r="J58" s="102"/>
    </row>
    <row r="59" spans="1:10" ht="14.25">
      <c r="A59" s="257" t="s">
        <v>142</v>
      </c>
      <c r="B59" s="257"/>
      <c r="C59" s="250">
        <v>2</v>
      </c>
      <c r="D59" s="250">
        <v>15</v>
      </c>
      <c r="E59" s="85">
        <f t="shared" si="2"/>
        <v>30</v>
      </c>
      <c r="F59" s="61"/>
      <c r="G59" s="61"/>
      <c r="H59" s="61"/>
      <c r="I59" s="61"/>
      <c r="J59" s="102"/>
    </row>
    <row r="60" spans="1:10" ht="15" thickBot="1">
      <c r="A60" s="257"/>
      <c r="B60" s="257"/>
      <c r="C60" s="250"/>
      <c r="D60" s="250"/>
      <c r="E60" s="85">
        <f>+D60*C60</f>
        <v>0</v>
      </c>
      <c r="F60" s="61"/>
      <c r="G60" s="61"/>
      <c r="H60" s="61"/>
      <c r="I60" s="61"/>
      <c r="J60" s="102"/>
    </row>
    <row r="61" spans="1:10" ht="15" thickBot="1">
      <c r="A61" s="104"/>
      <c r="B61" s="104"/>
      <c r="C61" s="93"/>
      <c r="D61" s="93"/>
      <c r="E61" s="94">
        <f>SUM(E50:E60)</f>
        <v>4444</v>
      </c>
      <c r="F61" s="61" t="s">
        <v>64</v>
      </c>
      <c r="G61" s="61"/>
      <c r="H61" s="61"/>
      <c r="I61" s="61"/>
      <c r="J61" s="102"/>
    </row>
    <row r="62" spans="1:10" ht="14.25">
      <c r="A62" s="13" t="s">
        <v>274</v>
      </c>
      <c r="B62" s="104"/>
      <c r="C62" s="93"/>
      <c r="D62" s="93"/>
      <c r="E62" s="98">
        <f>+E61/60</f>
        <v>74.06666666666666</v>
      </c>
      <c r="F62" s="61" t="s">
        <v>55</v>
      </c>
      <c r="G62" s="61"/>
      <c r="H62" s="61"/>
      <c r="I62" s="61"/>
      <c r="J62" s="102"/>
    </row>
    <row r="63" spans="1:11" ht="13.5" thickBo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0" ht="14.25">
      <c r="A64" s="104"/>
      <c r="B64" s="104"/>
      <c r="C64" s="93"/>
      <c r="D64" s="93"/>
      <c r="F64" s="61"/>
      <c r="G64" s="61"/>
      <c r="H64" s="61"/>
      <c r="I64" s="61"/>
      <c r="J64" s="102"/>
    </row>
    <row r="65" spans="1:10" ht="14.25">
      <c r="A65" s="104"/>
      <c r="B65" s="104"/>
      <c r="C65" s="93"/>
      <c r="D65" s="93"/>
      <c r="G65" s="61"/>
      <c r="H65" s="61"/>
      <c r="I65" s="61"/>
      <c r="J65" s="102"/>
    </row>
    <row r="66" spans="1:7" ht="18">
      <c r="A66" s="104"/>
      <c r="B66" s="104"/>
      <c r="C66" s="93"/>
      <c r="D66" s="93"/>
      <c r="G66" s="103" t="s">
        <v>321</v>
      </c>
    </row>
    <row r="67" spans="1:7" ht="18">
      <c r="A67" s="15"/>
      <c r="B67" s="15"/>
      <c r="C67" s="2"/>
      <c r="D67" s="2"/>
      <c r="E67" s="2"/>
      <c r="G67" s="109" t="s">
        <v>143</v>
      </c>
    </row>
    <row r="68" spans="1:5" ht="12.75">
      <c r="A68" s="15"/>
      <c r="B68" s="15"/>
      <c r="C68" s="2"/>
      <c r="D68" s="2"/>
      <c r="E68" s="2"/>
    </row>
    <row r="69" spans="1:5" ht="18">
      <c r="A69" s="15"/>
      <c r="B69" s="15"/>
      <c r="C69" s="2"/>
      <c r="D69" s="2"/>
      <c r="E69" s="103"/>
    </row>
    <row r="70" spans="1:5" ht="18">
      <c r="A70" s="15"/>
      <c r="B70" s="15"/>
      <c r="C70" s="2"/>
      <c r="D70" s="2"/>
      <c r="E70" s="109"/>
    </row>
    <row r="71" spans="1:7" ht="14.25">
      <c r="A71" s="15"/>
      <c r="B71" s="15"/>
      <c r="C71" s="2"/>
      <c r="D71" s="2"/>
      <c r="G71" s="61"/>
    </row>
    <row r="72" spans="1:7" ht="15">
      <c r="A72" s="15"/>
      <c r="B72" s="15"/>
      <c r="C72" s="2"/>
      <c r="D72" s="2"/>
      <c r="G72" s="110"/>
    </row>
    <row r="73" spans="1:7" ht="15">
      <c r="A73" s="15"/>
      <c r="B73" s="15"/>
      <c r="C73" s="2"/>
      <c r="D73" s="2"/>
      <c r="G73" s="110"/>
    </row>
    <row r="74" spans="1:7" ht="15">
      <c r="A74" s="15"/>
      <c r="B74" s="15"/>
      <c r="C74" s="2"/>
      <c r="D74" s="2"/>
      <c r="E74" s="2"/>
      <c r="F74" s="110"/>
      <c r="G74" s="110"/>
    </row>
    <row r="75" spans="1:7" ht="15">
      <c r="A75" s="15"/>
      <c r="B75" s="15"/>
      <c r="C75" s="2"/>
      <c r="D75" s="2"/>
      <c r="E75" s="2"/>
      <c r="G75" s="110"/>
    </row>
    <row r="76" spans="1:5" ht="12.75">
      <c r="A76" s="15"/>
      <c r="B76" s="15"/>
      <c r="C76" s="2"/>
      <c r="D76" s="2"/>
      <c r="E76" s="2"/>
    </row>
    <row r="77" spans="1:5" ht="12.75">
      <c r="A77" s="15"/>
      <c r="B77" s="15"/>
      <c r="C77" s="2"/>
      <c r="D77" s="2"/>
      <c r="E77" s="2"/>
    </row>
    <row r="78" spans="1:5" ht="12.75">
      <c r="A78" s="15"/>
      <c r="B78" s="15"/>
      <c r="C78" s="2"/>
      <c r="D78" s="2"/>
      <c r="E78" s="2"/>
    </row>
    <row r="79" spans="1:5" ht="12.75">
      <c r="A79" s="15"/>
      <c r="B79" s="15"/>
      <c r="C79" s="2"/>
      <c r="D79" s="2"/>
      <c r="E79" s="2"/>
    </row>
    <row r="80" spans="1:5" ht="12.75">
      <c r="A80" s="15"/>
      <c r="B80" s="15"/>
      <c r="C80" s="2"/>
      <c r="D80" s="2"/>
      <c r="E80" s="2"/>
    </row>
    <row r="81" spans="1:5" ht="12.75">
      <c r="A81" s="15"/>
      <c r="B81" s="15"/>
      <c r="C81" s="2"/>
      <c r="D81" s="2"/>
      <c r="E81" s="2"/>
    </row>
    <row r="82" spans="1:5" ht="12.75">
      <c r="A82" s="15"/>
      <c r="B82" s="15"/>
      <c r="C82" s="2"/>
      <c r="D82" s="2"/>
      <c r="E82" s="2"/>
    </row>
    <row r="83" spans="1:5" ht="23.25">
      <c r="A83" s="82" t="s">
        <v>228</v>
      </c>
      <c r="B83" s="83"/>
      <c r="C83" s="2"/>
      <c r="D83" s="2"/>
      <c r="E83" s="2"/>
    </row>
    <row r="84" spans="1:5" ht="12.75">
      <c r="A84" s="15"/>
      <c r="B84" s="15"/>
      <c r="C84" s="40"/>
      <c r="D84" s="40"/>
      <c r="E84" s="40"/>
    </row>
    <row r="85" spans="1:5" ht="21" thickBot="1">
      <c r="A85" s="111" t="s">
        <v>311</v>
      </c>
      <c r="B85" s="15"/>
      <c r="C85" s="40"/>
      <c r="D85" s="40"/>
      <c r="E85" s="40"/>
    </row>
    <row r="86" spans="1:6" ht="20.25">
      <c r="A86" s="111"/>
      <c r="B86" s="416" t="s">
        <v>58</v>
      </c>
      <c r="C86" s="417"/>
      <c r="D86" s="40"/>
      <c r="E86" s="416" t="s">
        <v>33</v>
      </c>
      <c r="F86" s="417"/>
    </row>
    <row r="87" spans="1:8" ht="18">
      <c r="A87" s="15"/>
      <c r="B87" s="418" t="s">
        <v>205</v>
      </c>
      <c r="C87" s="419"/>
      <c r="E87" s="418" t="s">
        <v>57</v>
      </c>
      <c r="F87" s="419"/>
      <c r="H87" s="114" t="s">
        <v>34</v>
      </c>
    </row>
    <row r="88" spans="1:8" ht="12.75">
      <c r="A88" s="2"/>
      <c r="B88" s="36"/>
      <c r="C88" s="33"/>
      <c r="E88" s="36"/>
      <c r="F88" s="33"/>
      <c r="H88" s="254">
        <v>2.95</v>
      </c>
    </row>
    <row r="89" spans="1:6" ht="12.75">
      <c r="A89" s="2"/>
      <c r="B89" s="112" t="s">
        <v>206</v>
      </c>
      <c r="C89" s="264">
        <v>3.05</v>
      </c>
      <c r="E89" s="112" t="s">
        <v>179</v>
      </c>
      <c r="F89" s="253">
        <v>99.6</v>
      </c>
    </row>
    <row r="90" spans="1:6" ht="12.75">
      <c r="A90" s="2"/>
      <c r="B90" s="36" t="s">
        <v>207</v>
      </c>
      <c r="C90" s="264">
        <v>3</v>
      </c>
      <c r="E90" s="115" t="s">
        <v>181</v>
      </c>
      <c r="F90" s="66">
        <f>+C91</f>
        <v>2.4</v>
      </c>
    </row>
    <row r="91" spans="1:6" ht="12.75">
      <c r="A91" s="2"/>
      <c r="B91" s="115" t="s">
        <v>181</v>
      </c>
      <c r="C91" s="265">
        <v>2.4</v>
      </c>
      <c r="E91" s="115" t="s">
        <v>180</v>
      </c>
      <c r="F91" s="66">
        <f>+C92</f>
        <v>1.7</v>
      </c>
    </row>
    <row r="92" spans="1:6" ht="12.75" customHeight="1">
      <c r="A92" s="2"/>
      <c r="B92" s="115" t="s">
        <v>208</v>
      </c>
      <c r="C92" s="265">
        <v>1.7</v>
      </c>
      <c r="E92" s="115" t="s">
        <v>59</v>
      </c>
      <c r="F92" s="134">
        <f>ROUND(F89/C90,0)</f>
        <v>33</v>
      </c>
    </row>
    <row r="93" spans="1:11" ht="18" customHeight="1" thickBot="1">
      <c r="A93" s="38"/>
      <c r="B93" s="183" t="s">
        <v>309</v>
      </c>
      <c r="C93" s="184">
        <f>ROUNDUP(+C90*C91*C92*H88,0)</f>
        <v>37</v>
      </c>
      <c r="D93" s="38"/>
      <c r="E93" s="183" t="s">
        <v>182</v>
      </c>
      <c r="F93" s="184">
        <f>ROUNDUP(F89*F90*F91*H88,0)</f>
        <v>1199</v>
      </c>
      <c r="G93" s="38"/>
      <c r="H93" s="38"/>
      <c r="I93" s="38"/>
      <c r="J93" s="38"/>
      <c r="K93" s="38"/>
    </row>
    <row r="94" spans="1:11" ht="12.75">
      <c r="A94" s="2"/>
      <c r="B94" s="36"/>
      <c r="C94" s="33"/>
      <c r="D94" s="2"/>
      <c r="E94" s="36"/>
      <c r="F94" s="33"/>
      <c r="G94" s="2"/>
      <c r="H94" s="2"/>
      <c r="I94" s="2"/>
      <c r="J94" s="2"/>
      <c r="K94" s="2"/>
    </row>
    <row r="95" spans="1:11" ht="20.25">
      <c r="A95" s="111" t="s">
        <v>60</v>
      </c>
      <c r="B95" s="36"/>
      <c r="C95" s="33"/>
      <c r="D95" s="2"/>
      <c r="E95" s="36"/>
      <c r="F95" s="33"/>
      <c r="G95" s="2"/>
      <c r="H95" s="2"/>
      <c r="I95" s="2"/>
      <c r="J95" s="2"/>
      <c r="K95" s="2"/>
    </row>
    <row r="96" spans="2:6" ht="18" customHeight="1">
      <c r="B96" s="65" t="s">
        <v>145</v>
      </c>
      <c r="C96" s="33"/>
      <c r="E96" s="36"/>
      <c r="F96" s="380" t="s">
        <v>61</v>
      </c>
    </row>
    <row r="97" spans="1:7" ht="12.75" customHeight="1">
      <c r="A97" s="500" t="s">
        <v>156</v>
      </c>
      <c r="B97" s="40" t="s">
        <v>146</v>
      </c>
      <c r="C97" s="64" t="s">
        <v>20</v>
      </c>
      <c r="E97" s="36"/>
      <c r="F97" s="371"/>
      <c r="G97" s="19"/>
    </row>
    <row r="98" spans="1:6" ht="12.75">
      <c r="A98" s="501"/>
      <c r="B98" s="290">
        <v>15</v>
      </c>
      <c r="C98" s="66">
        <f>ROUNDUP(B98/60*C90,1)</f>
        <v>0.7999999999999999</v>
      </c>
      <c r="E98" s="36"/>
      <c r="F98" s="66">
        <f>ROUNDUP(B98/60*F89,1)</f>
        <v>24.9</v>
      </c>
    </row>
    <row r="99" spans="1:11" ht="13.5" thickBot="1">
      <c r="A99" s="38"/>
      <c r="B99" s="37"/>
      <c r="C99" s="39"/>
      <c r="D99" s="38"/>
      <c r="E99" s="37"/>
      <c r="F99" s="39"/>
      <c r="G99" s="38"/>
      <c r="H99" s="38"/>
      <c r="I99" s="38"/>
      <c r="J99" s="38"/>
      <c r="K99" s="38"/>
    </row>
    <row r="100" spans="1:11" ht="12.75">
      <c r="A100" s="2"/>
      <c r="B100" s="36"/>
      <c r="C100" s="33"/>
      <c r="D100" s="2"/>
      <c r="E100" s="36"/>
      <c r="F100" s="33"/>
      <c r="G100" s="2"/>
      <c r="H100" s="2"/>
      <c r="I100" s="2"/>
      <c r="J100" s="2"/>
      <c r="K100" s="2"/>
    </row>
    <row r="101" spans="1:11" ht="20.25">
      <c r="A101" s="111" t="s">
        <v>62</v>
      </c>
      <c r="B101" s="36"/>
      <c r="C101" s="33"/>
      <c r="D101" s="2"/>
      <c r="E101" s="36"/>
      <c r="F101" s="33"/>
      <c r="G101" s="381" t="s">
        <v>149</v>
      </c>
      <c r="H101" s="382"/>
      <c r="I101" s="382"/>
      <c r="J101" s="382"/>
      <c r="K101" s="383"/>
    </row>
    <row r="102" spans="2:11" ht="18.75" customHeight="1">
      <c r="B102" s="36"/>
      <c r="C102" s="33"/>
      <c r="E102" s="36"/>
      <c r="F102" s="33"/>
      <c r="G102" s="502"/>
      <c r="H102" s="503"/>
      <c r="I102" s="504" t="s">
        <v>298</v>
      </c>
      <c r="J102" s="414" t="s">
        <v>178</v>
      </c>
      <c r="K102" s="414" t="s">
        <v>153</v>
      </c>
    </row>
    <row r="103" spans="2:11" ht="20.25" customHeight="1">
      <c r="B103" s="36"/>
      <c r="C103" s="64" t="s">
        <v>20</v>
      </c>
      <c r="E103" s="36"/>
      <c r="F103" s="64" t="s">
        <v>20</v>
      </c>
      <c r="G103" s="506"/>
      <c r="H103" s="507"/>
      <c r="I103" s="505"/>
      <c r="J103" s="414"/>
      <c r="K103" s="415"/>
    </row>
    <row r="104" spans="1:11" ht="12.75">
      <c r="A104" s="62" t="s">
        <v>157</v>
      </c>
      <c r="B104" s="378" t="s">
        <v>199</v>
      </c>
      <c r="C104" s="66">
        <f>ROUNDUP(+K107/K126*C90,1)</f>
        <v>0.9</v>
      </c>
      <c r="E104" s="36"/>
      <c r="F104" s="66">
        <f>+ROUNDUP(C104*K141,1)</f>
        <v>29.7</v>
      </c>
      <c r="G104" s="412" t="s">
        <v>150</v>
      </c>
      <c r="H104" s="413"/>
      <c r="I104" s="254">
        <v>1.2</v>
      </c>
      <c r="J104" s="313">
        <v>2</v>
      </c>
      <c r="K104" s="311">
        <f>ROUND(J104*I104/1.2+0.1,1)</f>
        <v>2.1</v>
      </c>
    </row>
    <row r="105" spans="2:11" ht="12.75" customHeight="1">
      <c r="B105" s="378"/>
      <c r="C105" s="33"/>
      <c r="E105" s="36"/>
      <c r="F105" s="33"/>
      <c r="G105" s="412" t="s">
        <v>151</v>
      </c>
      <c r="H105" s="413"/>
      <c r="I105" s="254">
        <v>1.2</v>
      </c>
      <c r="J105" s="313">
        <v>2</v>
      </c>
      <c r="K105" s="311">
        <f>ROUND(J105*I105/1.2+0.1,1)</f>
        <v>2.1</v>
      </c>
    </row>
    <row r="106" spans="2:11" ht="12.75" customHeight="1">
      <c r="B106" s="379"/>
      <c r="C106" s="64" t="s">
        <v>20</v>
      </c>
      <c r="E106" s="36"/>
      <c r="F106" s="64" t="s">
        <v>20</v>
      </c>
      <c r="G106" s="412" t="s">
        <v>152</v>
      </c>
      <c r="H106" s="413"/>
      <c r="I106" s="254">
        <v>1.2</v>
      </c>
      <c r="J106" s="313">
        <v>2</v>
      </c>
      <c r="K106" s="311">
        <f>ROUND(J106*I106/1.2+0.1,1)</f>
        <v>2.1</v>
      </c>
    </row>
    <row r="107" spans="1:11" ht="12.75">
      <c r="A107" s="291" t="s">
        <v>158</v>
      </c>
      <c r="B107" s="243">
        <v>8.5</v>
      </c>
      <c r="C107" s="66">
        <f>+ROUNDUP(B107/60*J107*C90,1)</f>
        <v>2.6</v>
      </c>
      <c r="E107" s="36"/>
      <c r="F107" s="66">
        <f>+ROUNDUP(C107*K141,1)</f>
        <v>85.8</v>
      </c>
      <c r="G107" s="2"/>
      <c r="J107" s="52">
        <f>SUM(J104:J106)</f>
        <v>6</v>
      </c>
      <c r="K107" s="311">
        <f>SUM(K104:K106)</f>
        <v>6.300000000000001</v>
      </c>
    </row>
    <row r="108" spans="1:6" ht="12.75">
      <c r="A108" s="292" t="s">
        <v>194</v>
      </c>
      <c r="B108" s="36"/>
      <c r="C108" s="117" t="s">
        <v>100</v>
      </c>
      <c r="E108" s="36"/>
      <c r="F108" s="117" t="s">
        <v>100</v>
      </c>
    </row>
    <row r="109" spans="1:11" ht="13.5" thickBot="1">
      <c r="A109" s="38"/>
      <c r="B109" s="37"/>
      <c r="C109" s="118">
        <f>+C104+C107</f>
        <v>3.5</v>
      </c>
      <c r="D109" s="185"/>
      <c r="E109" s="37"/>
      <c r="F109" s="118">
        <f>+F104+F107</f>
        <v>115.5</v>
      </c>
      <c r="G109" s="38"/>
      <c r="H109" s="38"/>
      <c r="I109" s="38"/>
      <c r="J109" s="38"/>
      <c r="K109" s="38"/>
    </row>
    <row r="110" spans="1:11" ht="12.75">
      <c r="A110" s="2"/>
      <c r="B110" s="36"/>
      <c r="C110" s="159"/>
      <c r="D110" s="2"/>
      <c r="E110" s="36"/>
      <c r="F110" s="159"/>
      <c r="G110" s="2"/>
      <c r="H110" s="2"/>
      <c r="I110" s="2"/>
      <c r="J110" s="2"/>
      <c r="K110" s="2"/>
    </row>
    <row r="111" spans="1:11" ht="15.75">
      <c r="A111" s="2"/>
      <c r="B111" s="36"/>
      <c r="C111" s="159"/>
      <c r="D111" s="2"/>
      <c r="E111" s="36"/>
      <c r="F111" s="159"/>
      <c r="G111" s="381" t="s">
        <v>324</v>
      </c>
      <c r="H111" s="382"/>
      <c r="I111" s="382"/>
      <c r="J111" s="382"/>
      <c r="K111" s="383"/>
    </row>
    <row r="112" spans="1:11" ht="20.25">
      <c r="A112" s="111" t="s">
        <v>312</v>
      </c>
      <c r="B112" s="65"/>
      <c r="C112" s="64"/>
      <c r="D112" s="2"/>
      <c r="E112" s="36"/>
      <c r="F112" s="159"/>
      <c r="G112" s="2"/>
      <c r="H112" s="495" t="s">
        <v>209</v>
      </c>
      <c r="I112" s="495"/>
      <c r="K112" s="2"/>
    </row>
    <row r="113" spans="1:10" ht="15">
      <c r="A113" s="2"/>
      <c r="B113" s="65" t="s">
        <v>162</v>
      </c>
      <c r="C113" s="64" t="s">
        <v>20</v>
      </c>
      <c r="E113" s="65" t="s">
        <v>162</v>
      </c>
      <c r="F113" s="64" t="s">
        <v>20</v>
      </c>
      <c r="G113" s="2"/>
      <c r="H113" s="496" t="s">
        <v>72</v>
      </c>
      <c r="I113" s="497"/>
      <c r="J113" s="49" t="s">
        <v>195</v>
      </c>
    </row>
    <row r="114" spans="1:10" ht="15.75" thickBot="1">
      <c r="A114" s="1" t="s">
        <v>183</v>
      </c>
      <c r="B114" s="243">
        <v>50</v>
      </c>
      <c r="C114" s="66">
        <f>+ROUNDUP(C93/B114,1)</f>
        <v>0.7999999999999999</v>
      </c>
      <c r="E114" s="243">
        <v>50</v>
      </c>
      <c r="F114" s="66">
        <f>+ROUNDUP(F93/E114,1)</f>
        <v>24</v>
      </c>
      <c r="G114" s="2"/>
      <c r="H114" s="498">
        <f>+F89*F91</f>
        <v>169.32</v>
      </c>
      <c r="I114" s="499"/>
      <c r="J114" s="227">
        <v>0.15</v>
      </c>
    </row>
    <row r="115" spans="1:11" ht="15.75">
      <c r="A115" s="2"/>
      <c r="B115" s="36"/>
      <c r="C115" s="33"/>
      <c r="E115" s="36"/>
      <c r="F115" s="33"/>
      <c r="G115" s="2"/>
      <c r="H115" s="490" t="s">
        <v>325</v>
      </c>
      <c r="I115" s="490"/>
      <c r="K115" s="2"/>
    </row>
    <row r="116" spans="1:11" ht="16.5">
      <c r="A116" s="2"/>
      <c r="B116" s="167" t="s">
        <v>111</v>
      </c>
      <c r="C116" s="64" t="s">
        <v>20</v>
      </c>
      <c r="E116" s="167" t="s">
        <v>111</v>
      </c>
      <c r="F116" s="64" t="s">
        <v>20</v>
      </c>
      <c r="G116" s="2"/>
      <c r="H116" s="491" t="s">
        <v>210</v>
      </c>
      <c r="I116" s="492"/>
      <c r="K116" s="2"/>
    </row>
    <row r="117" spans="1:11" ht="16.5" thickBot="1">
      <c r="A117" s="1" t="s">
        <v>184</v>
      </c>
      <c r="B117" s="243">
        <v>15</v>
      </c>
      <c r="C117" s="66">
        <f>IF(B117=0,0,ROUNDUP((C90*F91)/B117,1))</f>
        <v>0.4</v>
      </c>
      <c r="E117" s="243">
        <v>15</v>
      </c>
      <c r="F117" s="66">
        <f>IF(E117=0,0,+ROUNDUP(H114/E117,1))</f>
        <v>11.299999999999999</v>
      </c>
      <c r="G117" s="2"/>
      <c r="H117" s="493">
        <f>+H114*J114*H88*0.66</f>
        <v>49.449906000000006</v>
      </c>
      <c r="I117" s="494"/>
      <c r="K117" s="2"/>
    </row>
    <row r="118" spans="1:11" ht="13.5" thickBot="1">
      <c r="A118" s="38"/>
      <c r="B118" s="37"/>
      <c r="C118" s="160"/>
      <c r="D118" s="38"/>
      <c r="E118" s="37"/>
      <c r="F118" s="160"/>
      <c r="G118" s="38"/>
      <c r="H118" s="38"/>
      <c r="I118" s="38"/>
      <c r="J118" s="38"/>
      <c r="K118" s="38"/>
    </row>
    <row r="119" spans="1:11" ht="12.75">
      <c r="A119" s="2"/>
      <c r="B119" s="36"/>
      <c r="C119" s="159"/>
      <c r="D119" s="2"/>
      <c r="E119" s="36"/>
      <c r="F119" s="161"/>
      <c r="G119" s="2"/>
      <c r="H119" s="2"/>
      <c r="I119" s="2"/>
      <c r="J119" s="2"/>
      <c r="K119" s="2"/>
    </row>
    <row r="120" spans="1:11" ht="20.25">
      <c r="A120" s="111" t="s">
        <v>313</v>
      </c>
      <c r="B120" s="36"/>
      <c r="C120" s="159"/>
      <c r="D120" s="2"/>
      <c r="E120" s="36"/>
      <c r="F120" s="161"/>
      <c r="G120" s="381" t="s">
        <v>35</v>
      </c>
      <c r="H120" s="382"/>
      <c r="I120" s="382"/>
      <c r="J120" s="382"/>
      <c r="K120" s="383"/>
    </row>
    <row r="121" spans="1:11" ht="18" customHeight="1">
      <c r="A121" s="2"/>
      <c r="B121" s="65"/>
      <c r="C121" s="64"/>
      <c r="E121" s="65"/>
      <c r="F121" s="64"/>
      <c r="G121" s="119" t="s">
        <v>161</v>
      </c>
      <c r="H121" s="119"/>
      <c r="I121" s="119"/>
      <c r="J121" s="120"/>
      <c r="K121" s="242">
        <v>2.16</v>
      </c>
    </row>
    <row r="122" spans="1:11" ht="18" customHeight="1">
      <c r="A122" s="111"/>
      <c r="B122" s="65"/>
      <c r="C122" s="64"/>
      <c r="E122" s="65"/>
      <c r="F122" s="64"/>
      <c r="G122" s="393" t="s">
        <v>164</v>
      </c>
      <c r="H122" s="394"/>
      <c r="I122" s="394"/>
      <c r="J122" s="395"/>
      <c r="K122" s="399">
        <v>2</v>
      </c>
    </row>
    <row r="123" spans="2:11" ht="18" customHeight="1">
      <c r="B123" s="65"/>
      <c r="C123" s="64"/>
      <c r="E123" s="65"/>
      <c r="F123" s="64"/>
      <c r="G123" s="396"/>
      <c r="H123" s="397"/>
      <c r="I123" s="397"/>
      <c r="J123" s="398"/>
      <c r="K123" s="400"/>
    </row>
    <row r="124" spans="2:11" ht="18" customHeight="1">
      <c r="B124" s="65"/>
      <c r="C124" s="64"/>
      <c r="E124" s="65"/>
      <c r="F124" s="64"/>
      <c r="G124" s="53" t="s">
        <v>165</v>
      </c>
      <c r="H124" s="121"/>
      <c r="I124" s="121"/>
      <c r="J124" s="68"/>
      <c r="K124" s="122">
        <f>+K122+K121*2</f>
        <v>6.32</v>
      </c>
    </row>
    <row r="125" spans="2:11" ht="18" customHeight="1" thickBot="1">
      <c r="B125" s="65"/>
      <c r="C125" s="64"/>
      <c r="E125" s="65"/>
      <c r="F125" s="64"/>
      <c r="G125" s="186"/>
      <c r="H125" s="186"/>
      <c r="I125" s="186"/>
      <c r="K125" s="126"/>
    </row>
    <row r="126" spans="1:11" ht="18" customHeight="1">
      <c r="A126" s="2"/>
      <c r="B126" s="65"/>
      <c r="C126" s="64" t="s">
        <v>19</v>
      </c>
      <c r="E126" s="65"/>
      <c r="F126" s="64" t="s">
        <v>19</v>
      </c>
      <c r="G126" s="401" t="s">
        <v>166</v>
      </c>
      <c r="H126" s="402"/>
      <c r="I126" s="402"/>
      <c r="J126" s="403"/>
      <c r="K126" s="488">
        <f>2.4/K124*60</f>
        <v>22.784810126582276</v>
      </c>
    </row>
    <row r="127" spans="1:11" ht="18" customHeight="1" thickBot="1">
      <c r="A127" s="55" t="s">
        <v>163</v>
      </c>
      <c r="B127" s="65"/>
      <c r="C127" s="50">
        <f>C89*J130</f>
        <v>27.45</v>
      </c>
      <c r="E127" s="65"/>
      <c r="F127" s="66">
        <f>+F92*C127</f>
        <v>905.85</v>
      </c>
      <c r="G127" s="508" t="s">
        <v>167</v>
      </c>
      <c r="H127" s="509"/>
      <c r="I127" s="509"/>
      <c r="J127" s="510"/>
      <c r="K127" s="489"/>
    </row>
    <row r="128" spans="1:11" ht="18" customHeight="1" thickBot="1">
      <c r="A128" s="187"/>
      <c r="B128" s="65"/>
      <c r="C128" s="64"/>
      <c r="E128" s="65"/>
      <c r="F128" s="64"/>
      <c r="G128" s="186"/>
      <c r="H128" s="186"/>
      <c r="I128" s="186"/>
      <c r="K128" s="126"/>
    </row>
    <row r="129" spans="1:10" ht="18" customHeight="1">
      <c r="A129" s="2"/>
      <c r="B129" s="65"/>
      <c r="C129" s="64" t="s">
        <v>20</v>
      </c>
      <c r="E129" s="65"/>
      <c r="F129" s="64" t="s">
        <v>20</v>
      </c>
      <c r="G129" s="481" t="s">
        <v>211</v>
      </c>
      <c r="H129" s="482"/>
      <c r="I129" s="482"/>
      <c r="J129" s="483"/>
    </row>
    <row r="130" spans="1:10" ht="18" customHeight="1" thickBot="1">
      <c r="A130" s="62" t="s">
        <v>287</v>
      </c>
      <c r="B130" s="65"/>
      <c r="C130" s="66">
        <f>ROUNDUP(C127/$K$126,1)</f>
        <v>1.3</v>
      </c>
      <c r="E130" s="65"/>
      <c r="F130" s="66">
        <f>ROUNDUP(F127/$K$126,1)</f>
        <v>39.800000000000004</v>
      </c>
      <c r="G130" s="444" t="s">
        <v>200</v>
      </c>
      <c r="H130" s="445"/>
      <c r="I130" s="446"/>
      <c r="J130" s="266">
        <v>9</v>
      </c>
    </row>
    <row r="131" spans="1:10" ht="18" customHeight="1">
      <c r="A131" s="188"/>
      <c r="B131" s="65"/>
      <c r="C131" s="64"/>
      <c r="E131" s="65"/>
      <c r="F131" s="64"/>
      <c r="H131" s="293" t="s">
        <v>170</v>
      </c>
      <c r="I131" s="484" t="s">
        <v>36</v>
      </c>
      <c r="J131" s="485"/>
    </row>
    <row r="132" spans="1:10" ht="18" customHeight="1" thickBot="1">
      <c r="A132" s="33"/>
      <c r="B132" s="65"/>
      <c r="C132" s="64"/>
      <c r="E132" s="65"/>
      <c r="F132" s="64"/>
      <c r="H132" s="189">
        <f>+I132/C89</f>
        <v>1.3479052823315119</v>
      </c>
      <c r="I132" s="486">
        <f>+C93/J130</f>
        <v>4.111111111111111</v>
      </c>
      <c r="J132" s="487"/>
    </row>
    <row r="133" spans="1:11" ht="13.5" thickBot="1">
      <c r="A133" s="38"/>
      <c r="B133" s="37"/>
      <c r="C133" s="39"/>
      <c r="D133" s="38"/>
      <c r="E133" s="37"/>
      <c r="F133" s="39"/>
      <c r="G133" s="37"/>
      <c r="H133" s="38"/>
      <c r="I133" s="38"/>
      <c r="J133" s="38"/>
      <c r="K133" s="38"/>
    </row>
    <row r="134" spans="1:11" ht="12.75">
      <c r="A134" s="2"/>
      <c r="B134" s="36"/>
      <c r="C134" s="33"/>
      <c r="D134" s="2"/>
      <c r="E134" s="36"/>
      <c r="F134" s="33"/>
      <c r="G134" s="2"/>
      <c r="H134" s="2"/>
      <c r="I134" s="2"/>
      <c r="J134" s="2"/>
      <c r="K134" s="2"/>
    </row>
    <row r="135" spans="1:11" ht="15.75">
      <c r="A135" s="2"/>
      <c r="B135" s="36"/>
      <c r="C135" s="33"/>
      <c r="D135" s="2"/>
      <c r="E135" s="36"/>
      <c r="F135" s="2"/>
      <c r="G135" s="476" t="s">
        <v>63</v>
      </c>
      <c r="H135" s="382"/>
      <c r="I135" s="382"/>
      <c r="J135" s="382"/>
      <c r="K135" s="383"/>
    </row>
    <row r="136" spans="1:11" ht="20.25">
      <c r="A136" s="111" t="s">
        <v>314</v>
      </c>
      <c r="B136" s="36"/>
      <c r="C136" s="33"/>
      <c r="D136" s="2"/>
      <c r="E136" s="36"/>
      <c r="F136" s="33"/>
      <c r="G136" s="62"/>
      <c r="H136" s="131" t="s">
        <v>171</v>
      </c>
      <c r="I136" s="249">
        <v>32</v>
      </c>
      <c r="J136" s="477" t="s">
        <v>280</v>
      </c>
      <c r="K136" s="478"/>
    </row>
    <row r="137" spans="2:11" ht="20.25" customHeight="1">
      <c r="B137" s="378" t="s">
        <v>294</v>
      </c>
      <c r="C137" s="33"/>
      <c r="D137" s="2"/>
      <c r="E137" s="65"/>
      <c r="F137" s="380" t="s">
        <v>61</v>
      </c>
      <c r="G137" s="190"/>
      <c r="H137" s="131" t="s">
        <v>172</v>
      </c>
      <c r="I137" s="267">
        <v>1.01</v>
      </c>
      <c r="J137" s="478"/>
      <c r="K137" s="478"/>
    </row>
    <row r="138" spans="1:12" ht="12.75">
      <c r="A138" s="2"/>
      <c r="B138" s="379"/>
      <c r="C138" s="64" t="s">
        <v>20</v>
      </c>
      <c r="E138" s="65"/>
      <c r="F138" s="371"/>
      <c r="J138" s="478"/>
      <c r="K138" s="478"/>
      <c r="L138" s="19"/>
    </row>
    <row r="139" spans="1:11" ht="15.75" thickBot="1">
      <c r="A139" s="62" t="s">
        <v>176</v>
      </c>
      <c r="B139" s="244">
        <v>1.3</v>
      </c>
      <c r="C139" s="66">
        <f>ROUNDUP(J130*B139/60,1)</f>
        <v>0.2</v>
      </c>
      <c r="E139" s="65"/>
      <c r="F139" s="66">
        <f>ROUNDUP(C139*K141,1)</f>
        <v>6.6</v>
      </c>
      <c r="G139" s="479" t="s">
        <v>296</v>
      </c>
      <c r="H139" s="480"/>
      <c r="I139" s="133">
        <f>POWER(I136/1000,2)*PI()/4*1000*I137</f>
        <v>0.8122901965121768</v>
      </c>
      <c r="J139" s="374">
        <f>+I139*C90/I132</f>
        <v>0.5927523055629399</v>
      </c>
      <c r="K139" s="375"/>
    </row>
    <row r="140" spans="2:6" ht="15" customHeight="1" thickBot="1">
      <c r="B140" s="36"/>
      <c r="C140" s="33"/>
      <c r="E140" s="65"/>
      <c r="F140" s="33"/>
    </row>
    <row r="141" spans="1:11" ht="15" customHeight="1" thickBot="1">
      <c r="A141" s="62" t="s">
        <v>113</v>
      </c>
      <c r="B141" s="36"/>
      <c r="C141" s="66">
        <f>ROUND(+J139*C93,0)</f>
        <v>22</v>
      </c>
      <c r="E141" s="65"/>
      <c r="F141" s="66">
        <f>ROUND(+J139*F93,0)</f>
        <v>711</v>
      </c>
      <c r="H141" s="354" t="s">
        <v>173</v>
      </c>
      <c r="I141" s="355"/>
      <c r="J141" s="356"/>
      <c r="K141" s="191">
        <f>+F92</f>
        <v>33</v>
      </c>
    </row>
    <row r="142" spans="1:11" ht="13.5" thickBot="1">
      <c r="A142" s="38"/>
      <c r="B142" s="37"/>
      <c r="C142" s="39"/>
      <c r="D142" s="38"/>
      <c r="E142" s="37"/>
      <c r="F142" s="39"/>
      <c r="G142" s="38"/>
      <c r="H142" s="38"/>
      <c r="I142" s="38"/>
      <c r="J142" s="38"/>
      <c r="K142" s="38"/>
    </row>
    <row r="144" spans="1:6" ht="20.25">
      <c r="A144" s="111" t="s">
        <v>335</v>
      </c>
      <c r="B144" s="2"/>
      <c r="C144" s="2"/>
      <c r="D144" s="2"/>
      <c r="E144" s="2"/>
      <c r="F144" s="2"/>
    </row>
    <row r="145" spans="2:6" ht="12.75">
      <c r="B145" s="13" t="s">
        <v>293</v>
      </c>
      <c r="C145" s="2"/>
      <c r="D145" s="2"/>
      <c r="E145" s="2"/>
      <c r="F145" s="2"/>
    </row>
    <row r="146" spans="2:6" ht="12.75" customHeight="1">
      <c r="B146" s="40" t="s">
        <v>37</v>
      </c>
      <c r="C146" s="2"/>
      <c r="D146" s="2"/>
      <c r="E146" s="2"/>
      <c r="F146" s="2"/>
    </row>
    <row r="147" spans="1:6" ht="12.75">
      <c r="A147" s="17" t="s">
        <v>38</v>
      </c>
      <c r="B147" s="40" t="s">
        <v>174</v>
      </c>
      <c r="C147" s="2"/>
      <c r="D147" s="2"/>
      <c r="E147" s="2"/>
      <c r="F147" s="40" t="s">
        <v>100</v>
      </c>
    </row>
    <row r="148" spans="1:6" ht="12.75">
      <c r="A148" s="32" t="s">
        <v>212</v>
      </c>
      <c r="B148" s="254">
        <v>0</v>
      </c>
      <c r="C148" s="2"/>
      <c r="D148" s="2"/>
      <c r="E148" s="2"/>
      <c r="F148" s="52">
        <f>+ROUNDUP(B148/60*K141,1)</f>
        <v>0</v>
      </c>
    </row>
    <row r="149" spans="1:11" ht="13.5" thickBo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6" ht="20.25">
      <c r="A151" s="111" t="s">
        <v>315</v>
      </c>
      <c r="E151" s="161"/>
      <c r="F151" s="161"/>
    </row>
    <row r="152" spans="2:6" ht="14.25">
      <c r="B152" s="163" t="s">
        <v>18</v>
      </c>
      <c r="C152" s="163" t="s">
        <v>53</v>
      </c>
      <c r="D152" s="163" t="s">
        <v>94</v>
      </c>
      <c r="E152" s="163" t="s">
        <v>20</v>
      </c>
      <c r="F152" s="161"/>
    </row>
    <row r="153" spans="2:6" ht="14.25">
      <c r="B153" s="178">
        <f>(F89*F90*F91)</f>
        <v>406.36799999999994</v>
      </c>
      <c r="C153" s="249">
        <f>H88*0.66</f>
        <v>1.9470000000000003</v>
      </c>
      <c r="D153" s="250">
        <v>110</v>
      </c>
      <c r="E153" s="164">
        <f>+ROUNDUP(B153*C153/D153,1)</f>
        <v>7.199999999999999</v>
      </c>
      <c r="F153" s="165" t="s">
        <v>54</v>
      </c>
    </row>
    <row r="154" spans="5:6" ht="12.75">
      <c r="E154" s="161"/>
      <c r="F154" s="161"/>
    </row>
    <row r="155" spans="1:11" ht="13.5" thickBo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7" ht="20.25">
      <c r="A157" s="83" t="s">
        <v>317</v>
      </c>
    </row>
    <row r="159" ht="18">
      <c r="A159" s="318" t="s">
        <v>265</v>
      </c>
    </row>
    <row r="160" spans="1:2" ht="12.75">
      <c r="A160" s="474" t="s">
        <v>214</v>
      </c>
      <c r="B160" s="475"/>
    </row>
    <row r="161" spans="1:10" ht="15.75" customHeight="1">
      <c r="A161" s="447" t="s">
        <v>215</v>
      </c>
      <c r="B161" s="448"/>
      <c r="C161" s="137" t="s">
        <v>24</v>
      </c>
      <c r="D161" s="59" t="s">
        <v>23</v>
      </c>
      <c r="E161" s="42" t="s">
        <v>11</v>
      </c>
      <c r="F161" s="42" t="s">
        <v>12</v>
      </c>
      <c r="G161" s="59" t="s">
        <v>22</v>
      </c>
      <c r="H161" s="59" t="s">
        <v>25</v>
      </c>
      <c r="I161" s="42" t="s">
        <v>26</v>
      </c>
      <c r="J161" s="270" t="s">
        <v>276</v>
      </c>
    </row>
    <row r="162" spans="1:10" ht="15">
      <c r="A162" s="330" t="s">
        <v>217</v>
      </c>
      <c r="B162" s="327"/>
      <c r="C162" s="138" t="s">
        <v>39</v>
      </c>
      <c r="D162" s="139">
        <f>+E34</f>
        <v>0.25</v>
      </c>
      <c r="E162" s="139">
        <f>+E42</f>
        <v>0.16666666666666666</v>
      </c>
      <c r="F162" s="139">
        <f>K37/60</f>
        <v>0.25</v>
      </c>
      <c r="G162" s="139">
        <f>+K41-K37/60</f>
        <v>0.7333333333333333</v>
      </c>
      <c r="H162" s="140">
        <f>+B148/60</f>
        <v>0</v>
      </c>
      <c r="I162" s="140">
        <f>(+K57)/K141</f>
        <v>0.05555555555555555</v>
      </c>
      <c r="J162" s="139">
        <f>SUM(C162:I162)</f>
        <v>1.4555555555555555</v>
      </c>
    </row>
    <row r="163" spans="1:10" ht="15">
      <c r="A163" s="328" t="s">
        <v>218</v>
      </c>
      <c r="B163" s="329"/>
      <c r="C163" s="321">
        <f>+C98</f>
        <v>0.7999999999999999</v>
      </c>
      <c r="D163" s="139">
        <f>+C109</f>
        <v>3.5</v>
      </c>
      <c r="E163" s="139">
        <f>+C130</f>
        <v>1.3</v>
      </c>
      <c r="F163" s="139">
        <f>+C114</f>
        <v>0.7999999999999999</v>
      </c>
      <c r="G163" s="139">
        <f>+C139</f>
        <v>0.2</v>
      </c>
      <c r="H163" s="141"/>
      <c r="I163" s="141"/>
      <c r="J163" s="139">
        <f>SUM(C163:I163)</f>
        <v>6.6</v>
      </c>
    </row>
    <row r="165" spans="1:2" ht="12.75">
      <c r="A165" s="143" t="s">
        <v>185</v>
      </c>
      <c r="B165" s="192"/>
    </row>
    <row r="166" spans="1:2" ht="12.75">
      <c r="A166" s="143" t="s">
        <v>186</v>
      </c>
      <c r="B166" s="192"/>
    </row>
    <row r="167" spans="1:10" ht="15">
      <c r="A167" s="325" t="s">
        <v>216</v>
      </c>
      <c r="B167" s="325"/>
      <c r="C167" s="139">
        <f>+(C98)/C176</f>
        <v>0.39999999999999997</v>
      </c>
      <c r="D167" s="139">
        <f>+(C109)/C176</f>
        <v>1.75</v>
      </c>
      <c r="E167" s="139">
        <f>(C130)/C176</f>
        <v>0.65</v>
      </c>
      <c r="F167" s="140">
        <f>+F163</f>
        <v>0.7999999999999999</v>
      </c>
      <c r="G167" s="139">
        <f>+(C139)/C176</f>
        <v>0.1</v>
      </c>
      <c r="H167" s="141"/>
      <c r="I167" s="141"/>
      <c r="J167" s="139">
        <f>SUM(C167:H167)</f>
        <v>3.6999999999999997</v>
      </c>
    </row>
    <row r="168" spans="1:10" ht="15.75">
      <c r="A168" s="144" t="s">
        <v>268</v>
      </c>
      <c r="I168" s="147" t="s">
        <v>4</v>
      </c>
      <c r="J168" s="145">
        <f>+J162+J167</f>
        <v>5.155555555555555</v>
      </c>
    </row>
    <row r="169" spans="9:10" ht="15">
      <c r="I169" s="47"/>
      <c r="J169" s="193" t="s">
        <v>41</v>
      </c>
    </row>
    <row r="170" spans="7:10" ht="15.75">
      <c r="G170" s="18"/>
      <c r="H170" s="18"/>
      <c r="I170" s="148" t="s">
        <v>219</v>
      </c>
      <c r="J170" s="306">
        <v>0.15</v>
      </c>
    </row>
    <row r="171" spans="4:11" ht="15.75">
      <c r="D171" s="61"/>
      <c r="H171" s="78"/>
      <c r="I171" s="147" t="s">
        <v>220</v>
      </c>
      <c r="J171" s="307">
        <f>+J168*J170*60</f>
        <v>46.39999999999999</v>
      </c>
      <c r="K171" s="78" t="s">
        <v>64</v>
      </c>
    </row>
    <row r="172" spans="9:10" ht="15.75" thickBot="1">
      <c r="I172" s="47"/>
      <c r="J172" s="193" t="s">
        <v>43</v>
      </c>
    </row>
    <row r="173" spans="7:11" ht="18.75" thickBot="1">
      <c r="G173" s="194"/>
      <c r="H173" s="194"/>
      <c r="I173" s="181" t="s">
        <v>221</v>
      </c>
      <c r="J173" s="308">
        <f>ROUNDUP(+J171/60+J168,1)</f>
        <v>6</v>
      </c>
      <c r="K173" s="78" t="s">
        <v>20</v>
      </c>
    </row>
    <row r="174" spans="9:10" ht="15">
      <c r="I174" s="47"/>
      <c r="J174" s="193" t="s">
        <v>41</v>
      </c>
    </row>
    <row r="175" spans="9:11" ht="18.75" thickBot="1">
      <c r="I175" s="181" t="s">
        <v>332</v>
      </c>
      <c r="J175" s="309">
        <f>E20</f>
        <v>2.283333333333333</v>
      </c>
      <c r="K175" s="78" t="s">
        <v>20</v>
      </c>
    </row>
    <row r="176" spans="1:11" ht="17.25" thickBot="1" thickTop="1">
      <c r="A176" s="146" t="s">
        <v>188</v>
      </c>
      <c r="B176" s="195"/>
      <c r="C176" s="305">
        <v>2</v>
      </c>
      <c r="J176" s="196" t="s">
        <v>43</v>
      </c>
      <c r="K176" s="51"/>
    </row>
    <row r="177" spans="1:11" ht="24" thickBot="1">
      <c r="A177" s="146" t="s">
        <v>189</v>
      </c>
      <c r="B177" s="195"/>
      <c r="C177" s="305">
        <v>8</v>
      </c>
      <c r="D177" s="197" t="s">
        <v>65</v>
      </c>
      <c r="I177" s="181" t="s">
        <v>336</v>
      </c>
      <c r="J177" s="308">
        <f>+J175+J173</f>
        <v>8.283333333333333</v>
      </c>
      <c r="K177" s="78" t="s">
        <v>20</v>
      </c>
    </row>
    <row r="178" ht="12.75">
      <c r="J178" s="51"/>
    </row>
    <row r="179" spans="7:10" ht="18">
      <c r="G179" s="194"/>
      <c r="H179" s="18"/>
      <c r="I179" s="148" t="s">
        <v>337</v>
      </c>
      <c r="J179" s="310">
        <f>+J173/C177</f>
        <v>0.75</v>
      </c>
    </row>
    <row r="180" spans="7:10" ht="18">
      <c r="G180" s="194"/>
      <c r="H180" s="18"/>
      <c r="I180" s="148" t="s">
        <v>338</v>
      </c>
      <c r="J180" s="310">
        <f>+J177/C177</f>
        <v>1.0354166666666667</v>
      </c>
    </row>
    <row r="181" spans="1:11" ht="18">
      <c r="A181" s="126"/>
      <c r="B181" s="126"/>
      <c r="C181" s="126"/>
      <c r="D181" s="126"/>
      <c r="E181" s="126"/>
      <c r="F181" s="126"/>
      <c r="G181" s="198"/>
      <c r="H181" s="199"/>
      <c r="I181" s="200"/>
      <c r="J181" s="126"/>
      <c r="K181" s="126"/>
    </row>
    <row r="182" spans="1:11" ht="18">
      <c r="A182" s="2"/>
      <c r="B182" s="2"/>
      <c r="C182" s="2"/>
      <c r="D182" s="2"/>
      <c r="E182" s="2"/>
      <c r="F182" s="2"/>
      <c r="G182" s="201"/>
      <c r="H182" s="60"/>
      <c r="I182" s="202"/>
      <c r="J182" s="2"/>
      <c r="K182" s="2"/>
    </row>
    <row r="183" ht="20.25">
      <c r="A183" s="83" t="s">
        <v>326</v>
      </c>
    </row>
    <row r="184" ht="14.25">
      <c r="A184" s="203" t="s">
        <v>222</v>
      </c>
    </row>
    <row r="185" ht="14.25">
      <c r="A185" s="203" t="s">
        <v>282</v>
      </c>
    </row>
    <row r="186" ht="6.75" customHeight="1"/>
    <row r="187" spans="1:4" ht="15">
      <c r="A187" s="93"/>
      <c r="C187" s="204" t="s">
        <v>281</v>
      </c>
      <c r="D187" s="322">
        <f>+C177</f>
        <v>8</v>
      </c>
    </row>
    <row r="188" spans="4:6" ht="15">
      <c r="D188" s="205" t="s">
        <v>66</v>
      </c>
      <c r="F188" s="206"/>
    </row>
    <row r="189" spans="1:11" ht="18.75" thickBot="1">
      <c r="A189" s="194"/>
      <c r="B189" s="194"/>
      <c r="C189" s="207" t="s">
        <v>295</v>
      </c>
      <c r="D189" s="323">
        <f>+J175</f>
        <v>2.283333333333333</v>
      </c>
      <c r="F189" s="459" t="str">
        <f>+I173</f>
        <v>temps total requis dans le chantier (incluant les imprévus)</v>
      </c>
      <c r="G189" s="460"/>
      <c r="I189" s="463" t="s">
        <v>224</v>
      </c>
      <c r="J189" s="464"/>
      <c r="K189" s="465"/>
    </row>
    <row r="190" spans="4:11" ht="15.75" thickTop="1">
      <c r="D190" s="205" t="s">
        <v>43</v>
      </c>
      <c r="F190" s="461"/>
      <c r="G190" s="462"/>
      <c r="I190" s="466"/>
      <c r="J190" s="467"/>
      <c r="K190" s="468"/>
    </row>
    <row r="191" spans="3:11" ht="15.75">
      <c r="C191" s="207" t="s">
        <v>223</v>
      </c>
      <c r="D191" s="324">
        <f>C177-J175</f>
        <v>5.716666666666667</v>
      </c>
      <c r="E191" s="19" t="s">
        <v>67</v>
      </c>
      <c r="F191" s="469">
        <f>+J173</f>
        <v>6</v>
      </c>
      <c r="G191" s="470"/>
      <c r="H191" s="205" t="s">
        <v>43</v>
      </c>
      <c r="I191" s="471">
        <f>D191/J173</f>
        <v>0.9527777777777778</v>
      </c>
      <c r="J191" s="472"/>
      <c r="K191" s="473"/>
    </row>
    <row r="192" spans="2:20" ht="32.25" customHeight="1">
      <c r="B192" s="454" t="str">
        <f>IF(I191&lt;1,"Est-il possible de faire des sautages durant le quart? Si non, changer les paramètres pour obtenir un nombre entier ou légèrement supérieur à un entier.","Est-il possible de faire des sautages durant le quart?  Si oui, optimiser les paramètres pour obtenir les résultats désirés.")</f>
        <v>Est-il possible de faire des sautages durant le quart? Si non, changer les paramètres pour obtenir un nombre entier ou légèrement supérieur à un entier.</v>
      </c>
      <c r="C192" s="455"/>
      <c r="D192" s="455"/>
      <c r="E192" s="455"/>
      <c r="F192" s="455"/>
      <c r="G192" s="455"/>
      <c r="H192" s="455"/>
      <c r="I192" s="455"/>
      <c r="J192" s="455"/>
      <c r="K192" s="456"/>
      <c r="P192" s="208"/>
      <c r="Q192" s="208"/>
      <c r="R192" s="208"/>
      <c r="S192" s="208"/>
      <c r="T192" s="208"/>
    </row>
    <row r="193" spans="1:11" ht="13.5" thickBot="1">
      <c r="A193" s="209"/>
      <c r="B193" s="209"/>
      <c r="C193" s="38"/>
      <c r="D193" s="38"/>
      <c r="E193" s="38"/>
      <c r="F193" s="38"/>
      <c r="G193" s="38"/>
      <c r="H193" s="38"/>
      <c r="I193" s="38"/>
      <c r="J193" s="38"/>
      <c r="K193" s="38"/>
    </row>
    <row r="194" ht="12.75">
      <c r="I194" s="2"/>
    </row>
    <row r="195" spans="1:12" ht="20.25">
      <c r="A195" s="83" t="s">
        <v>318</v>
      </c>
      <c r="I195" s="358" t="s">
        <v>266</v>
      </c>
      <c r="J195" s="54"/>
      <c r="L195" s="54"/>
    </row>
    <row r="196" spans="1:12" ht="20.25">
      <c r="A196" s="57"/>
      <c r="I196" s="359"/>
      <c r="J196" s="54"/>
      <c r="L196" s="54"/>
    </row>
    <row r="197" spans="1:12" ht="20.25">
      <c r="A197" s="57"/>
      <c r="I197" s="359"/>
      <c r="J197" s="54"/>
      <c r="L197" s="54"/>
    </row>
    <row r="198" spans="1:12" ht="20.25">
      <c r="A198" s="57"/>
      <c r="I198" s="359"/>
      <c r="J198" s="54"/>
      <c r="L198" s="54"/>
    </row>
    <row r="199" spans="1:11" ht="15.75">
      <c r="A199" s="457" t="s">
        <v>308</v>
      </c>
      <c r="B199" s="458"/>
      <c r="C199" s="59" t="s">
        <v>24</v>
      </c>
      <c r="D199" s="59" t="s">
        <v>23</v>
      </c>
      <c r="E199" s="42" t="s">
        <v>11</v>
      </c>
      <c r="F199" s="42" t="s">
        <v>12</v>
      </c>
      <c r="G199" s="59" t="s">
        <v>22</v>
      </c>
      <c r="H199" s="225" t="s">
        <v>25</v>
      </c>
      <c r="I199" s="360"/>
      <c r="J199" s="226" t="s">
        <v>26</v>
      </c>
      <c r="K199" s="47" t="s">
        <v>276</v>
      </c>
    </row>
    <row r="200" spans="1:11" ht="15">
      <c r="A200" s="330" t="s">
        <v>217</v>
      </c>
      <c r="B200" s="327"/>
      <c r="C200" s="138" t="s">
        <v>39</v>
      </c>
      <c r="D200" s="139">
        <f>+E34*K141</f>
        <v>8.25</v>
      </c>
      <c r="E200" s="139">
        <f>+E42*K141</f>
        <v>5.5</v>
      </c>
      <c r="F200" s="139">
        <f>+K37/60*K141</f>
        <v>8.25</v>
      </c>
      <c r="G200" s="139">
        <f>(+K41-K37/60)*K141</f>
        <v>24.2</v>
      </c>
      <c r="H200" s="140">
        <f>+F148</f>
        <v>0</v>
      </c>
      <c r="I200" s="140">
        <f>+E62</f>
        <v>74.06666666666666</v>
      </c>
      <c r="J200" s="139">
        <f>+K57</f>
        <v>1.8333333333333333</v>
      </c>
      <c r="K200" s="139">
        <f>SUM(C200:J200)</f>
        <v>122.1</v>
      </c>
    </row>
    <row r="201" spans="1:11" ht="15">
      <c r="A201" s="328" t="s">
        <v>218</v>
      </c>
      <c r="B201" s="329"/>
      <c r="C201" s="321">
        <f>+F98</f>
        <v>24.9</v>
      </c>
      <c r="D201" s="139">
        <f>+F109</f>
        <v>115.5</v>
      </c>
      <c r="E201" s="139">
        <f>+F130</f>
        <v>39.800000000000004</v>
      </c>
      <c r="F201" s="140">
        <f>+F114+F117</f>
        <v>35.3</v>
      </c>
      <c r="G201" s="139">
        <f>+F139</f>
        <v>6.6</v>
      </c>
      <c r="H201" s="141"/>
      <c r="I201" s="140">
        <f>+E153</f>
        <v>7.199999999999999</v>
      </c>
      <c r="J201" s="224"/>
      <c r="K201" s="139">
        <f>SUM(C201:J201)</f>
        <v>229.29999999999998</v>
      </c>
    </row>
    <row r="204" ht="12.75">
      <c r="A204" s="143" t="s">
        <v>185</v>
      </c>
    </row>
    <row r="205" ht="12.75">
      <c r="A205" s="143" t="s">
        <v>186</v>
      </c>
    </row>
    <row r="206" spans="1:11" ht="15">
      <c r="A206" s="325" t="s">
        <v>216</v>
      </c>
      <c r="B206" s="325"/>
      <c r="C206" s="321">
        <f>+(+F98)/C213</f>
        <v>12.45</v>
      </c>
      <c r="D206" s="139">
        <f>+(F109)/C213</f>
        <v>57.75</v>
      </c>
      <c r="E206" s="139">
        <f>(F130)/C213</f>
        <v>19.900000000000002</v>
      </c>
      <c r="F206" s="140">
        <f>+F201</f>
        <v>35.3</v>
      </c>
      <c r="G206" s="139">
        <f>+(F139)/C213</f>
        <v>3.3</v>
      </c>
      <c r="H206" s="223"/>
      <c r="I206" s="140">
        <f>+I201</f>
        <v>7.199999999999999</v>
      </c>
      <c r="J206" s="224"/>
      <c r="K206" s="139">
        <f>SUM(C206:J206)</f>
        <v>135.9</v>
      </c>
    </row>
    <row r="207" spans="1:11" ht="15.75">
      <c r="A207" s="144" t="s">
        <v>268</v>
      </c>
      <c r="J207" s="147" t="s">
        <v>4</v>
      </c>
      <c r="K207" s="145">
        <f>+K200+K206</f>
        <v>258</v>
      </c>
    </row>
    <row r="209" ht="12.75">
      <c r="K209" s="19" t="s">
        <v>68</v>
      </c>
    </row>
    <row r="210" spans="1:12" ht="12.75">
      <c r="A210" s="2" t="s">
        <v>187</v>
      </c>
      <c r="B210" s="2"/>
      <c r="C210" s="56">
        <f>(C206)*$C$213</f>
        <v>24.9</v>
      </c>
      <c r="D210" s="56">
        <f>(D200+D206)*$C$213</f>
        <v>132</v>
      </c>
      <c r="E210" s="56">
        <f>(E200+E206)*$C$213</f>
        <v>50.800000000000004</v>
      </c>
      <c r="F210" s="56">
        <f>(F200+F206)*$C$213</f>
        <v>87.1</v>
      </c>
      <c r="G210" s="56">
        <f>(G200+G206)*$C$213</f>
        <v>55</v>
      </c>
      <c r="H210" s="56">
        <f>(H200)*$C$213</f>
        <v>0</v>
      </c>
      <c r="I210" s="56">
        <f>(I200+I206)*$C$213</f>
        <v>162.53333333333333</v>
      </c>
      <c r="J210" s="56">
        <f>(J200)*$C$213</f>
        <v>3.6666666666666665</v>
      </c>
      <c r="K210" s="58">
        <f>SUM(C210:J210)</f>
        <v>516</v>
      </c>
      <c r="L210" s="51"/>
    </row>
    <row r="211" spans="1:12" ht="15.75">
      <c r="A211" s="2" t="s">
        <v>101</v>
      </c>
      <c r="B211" s="2"/>
      <c r="C211" s="56">
        <f aca="true" t="shared" si="4" ref="C211:J211">+C210/$C$214</f>
        <v>3.1125</v>
      </c>
      <c r="D211" s="56">
        <f t="shared" si="4"/>
        <v>16.5</v>
      </c>
      <c r="E211" s="56">
        <f t="shared" si="4"/>
        <v>6.3500000000000005</v>
      </c>
      <c r="F211" s="56">
        <f t="shared" si="4"/>
        <v>10.8875</v>
      </c>
      <c r="G211" s="56">
        <f t="shared" si="4"/>
        <v>6.875</v>
      </c>
      <c r="H211" s="56">
        <f t="shared" si="4"/>
        <v>0</v>
      </c>
      <c r="I211" s="56">
        <f t="shared" si="4"/>
        <v>20.316666666666666</v>
      </c>
      <c r="J211" s="56">
        <f t="shared" si="4"/>
        <v>0.4583333333333333</v>
      </c>
      <c r="K211" s="149">
        <f>SUM(C211:J211)</f>
        <v>64.5</v>
      </c>
      <c r="L211" s="51"/>
    </row>
    <row r="212" ht="12.75">
      <c r="K212" s="19" t="s">
        <v>44</v>
      </c>
    </row>
    <row r="213" spans="1:11" ht="15.75">
      <c r="A213" s="186" t="s">
        <v>188</v>
      </c>
      <c r="C213" s="304">
        <f>+C176</f>
        <v>2</v>
      </c>
      <c r="G213" s="147" t="s">
        <v>42</v>
      </c>
      <c r="H213" s="320">
        <f>+J170</f>
        <v>0.15</v>
      </c>
      <c r="J213" s="148" t="s">
        <v>89</v>
      </c>
      <c r="K213" s="149">
        <f>+K211*H213</f>
        <v>9.674999999999999</v>
      </c>
    </row>
    <row r="214" spans="1:11" ht="12.75">
      <c r="A214" s="186" t="s">
        <v>189</v>
      </c>
      <c r="B214" s="2"/>
      <c r="C214" s="304">
        <f>+C177</f>
        <v>8</v>
      </c>
      <c r="D214" s="13" t="s">
        <v>20</v>
      </c>
      <c r="J214" s="13"/>
      <c r="K214" s="19" t="s">
        <v>43</v>
      </c>
    </row>
    <row r="215" spans="10:11" ht="15.75">
      <c r="J215" s="148" t="s">
        <v>90</v>
      </c>
      <c r="K215" s="149">
        <f>+K213+K211</f>
        <v>74.175</v>
      </c>
    </row>
    <row r="216" ht="12.75">
      <c r="K216" s="19" t="s">
        <v>44</v>
      </c>
    </row>
    <row r="217" spans="10:11" ht="15.75">
      <c r="J217" s="148" t="s">
        <v>190</v>
      </c>
      <c r="K217" s="149">
        <f>+K215/(C214-J175)*J175</f>
        <v>29.626749271137026</v>
      </c>
    </row>
    <row r="218" ht="12.75">
      <c r="K218" s="19" t="s">
        <v>45</v>
      </c>
    </row>
    <row r="219" spans="10:11" ht="15.75">
      <c r="J219" s="148" t="s">
        <v>191</v>
      </c>
      <c r="K219" s="149">
        <f>+K217+K215</f>
        <v>103.80174927113703</v>
      </c>
    </row>
    <row r="220" spans="9:11" ht="16.5" thickBot="1">
      <c r="I220" s="147" t="s">
        <v>69</v>
      </c>
      <c r="J220" s="149">
        <f>+I191</f>
        <v>0.9527777777777778</v>
      </c>
      <c r="K220" s="13" t="s">
        <v>283</v>
      </c>
    </row>
    <row r="221" spans="5:7" ht="15.75">
      <c r="E221" s="148" t="s">
        <v>225</v>
      </c>
      <c r="F221" s="268">
        <v>0.86</v>
      </c>
      <c r="G221" s="211" t="s">
        <v>283</v>
      </c>
    </row>
    <row r="222" spans="5:10" ht="15.75">
      <c r="E222" s="148" t="s">
        <v>226</v>
      </c>
      <c r="F222" s="212">
        <f>F221/I191</f>
        <v>0.9026239067055393</v>
      </c>
      <c r="J222" s="326"/>
    </row>
    <row r="224" ht="12.75" customHeight="1" thickBot="1">
      <c r="C224" s="150">
        <f>IF(F222&gt;1," Vous ne pouvez pas entrer un nombre d'avance supérieur  au nombre possible calculé ci-haut","")</f>
      </c>
    </row>
    <row r="225" spans="2:7" ht="23.25" customHeight="1" thickBot="1" thickTop="1">
      <c r="B225" s="351" t="s">
        <v>96</v>
      </c>
      <c r="C225" s="352"/>
      <c r="D225" s="352"/>
      <c r="E225" s="352"/>
      <c r="F225" s="352"/>
      <c r="G225" s="353"/>
    </row>
    <row r="226" spans="2:11" ht="18" customHeight="1" thickBot="1">
      <c r="B226" s="451" t="s">
        <v>46</v>
      </c>
      <c r="C226" s="452"/>
      <c r="D226" s="452"/>
      <c r="E226" s="453"/>
      <c r="F226" s="151" t="s">
        <v>47</v>
      </c>
      <c r="G226" s="349" t="s">
        <v>48</v>
      </c>
      <c r="J226" s="152">
        <f>F93</f>
        <v>1199</v>
      </c>
      <c r="K226" t="s">
        <v>13</v>
      </c>
    </row>
    <row r="227" spans="2:7" ht="17.25" customHeight="1" thickBot="1">
      <c r="B227" s="285" t="s">
        <v>49</v>
      </c>
      <c r="C227" s="286" t="s">
        <v>50</v>
      </c>
      <c r="D227" s="332" t="s">
        <v>277</v>
      </c>
      <c r="E227" s="333"/>
      <c r="F227" s="287" t="s">
        <v>51</v>
      </c>
      <c r="G227" s="350"/>
    </row>
    <row r="228" spans="2:11" ht="25.5" customHeight="1" thickBot="1">
      <c r="B228" s="213">
        <f>+D228/(1+J170)</f>
        <v>70.82872430064037</v>
      </c>
      <c r="C228" s="214">
        <f>+D228-B228</f>
        <v>10.62430864509605</v>
      </c>
      <c r="D228" s="441">
        <f>+G228-F228</f>
        <v>81.45303294573642</v>
      </c>
      <c r="E228" s="442"/>
      <c r="F228" s="215">
        <f>+G228*D189/D187</f>
        <v>32.53371869844283</v>
      </c>
      <c r="G228" s="216">
        <f>(K141/F221+((I200+F117+I201)*(1+J170)/D191))*C176</f>
        <v>113.98675164417926</v>
      </c>
      <c r="H228" s="443" t="s">
        <v>52</v>
      </c>
      <c r="I228" s="339"/>
      <c r="J228" s="217">
        <f>+J226/G228</f>
        <v>10.518766283846698</v>
      </c>
      <c r="K228" t="s">
        <v>227</v>
      </c>
    </row>
    <row r="229" spans="2:7" ht="13.5" thickTop="1">
      <c r="B229" s="157">
        <f>+B228/$G$228</f>
        <v>0.6213768115942029</v>
      </c>
      <c r="C229" s="166">
        <f>+C228/$G$228</f>
        <v>0.09320652173913038</v>
      </c>
      <c r="D229" s="449">
        <f>+D228/$G$228</f>
        <v>0.7145833333333332</v>
      </c>
      <c r="E229" s="450"/>
      <c r="F229" s="218">
        <f>+F228/$G$228</f>
        <v>0.28541666666666665</v>
      </c>
      <c r="G229" s="158">
        <f>+F229+D229</f>
        <v>0.9999999999999999</v>
      </c>
    </row>
    <row r="230" spans="1:9" ht="15.75">
      <c r="A230" s="18"/>
      <c r="B230" s="18"/>
      <c r="I230" s="2"/>
    </row>
    <row r="231" spans="6:8" ht="12.75">
      <c r="F231" s="335"/>
      <c r="H231" s="51"/>
    </row>
    <row r="234" spans="1:8" ht="14.25">
      <c r="A234" s="219" t="s">
        <v>244</v>
      </c>
      <c r="D234" s="219" t="s">
        <v>249</v>
      </c>
      <c r="H234" s="219" t="s">
        <v>251</v>
      </c>
    </row>
    <row r="235" spans="1:10" ht="12.75">
      <c r="A235" s="2" t="s">
        <v>327</v>
      </c>
      <c r="B235" s="58">
        <f>+K210</f>
        <v>516</v>
      </c>
      <c r="D235" s="2"/>
      <c r="E235" s="220" t="s">
        <v>97</v>
      </c>
      <c r="F235" s="58">
        <f>+B243</f>
        <v>74.175</v>
      </c>
      <c r="I235" s="47" t="str">
        <f>+E243</f>
        <v>Nombre de quarts requis (horaire) </v>
      </c>
      <c r="J235" s="58">
        <f>+F243</f>
        <v>51.90087463556851</v>
      </c>
    </row>
    <row r="236" spans="1:10" ht="12.75">
      <c r="A236" s="2"/>
      <c r="B236" s="19" t="s">
        <v>67</v>
      </c>
      <c r="E236" s="2"/>
      <c r="F236" s="19" t="s">
        <v>67</v>
      </c>
      <c r="J236" s="19" t="s">
        <v>70</v>
      </c>
    </row>
    <row r="237" spans="1:10" ht="12.75">
      <c r="A237" s="2" t="s">
        <v>245</v>
      </c>
      <c r="B237" s="221">
        <f>+C214</f>
        <v>8</v>
      </c>
      <c r="E237" s="220" t="s">
        <v>253</v>
      </c>
      <c r="F237" s="56">
        <f>+D191</f>
        <v>5.716666666666667</v>
      </c>
      <c r="I237" s="47" t="s">
        <v>252</v>
      </c>
      <c r="J237" s="221">
        <f>+J175</f>
        <v>2.283333333333333</v>
      </c>
    </row>
    <row r="238" spans="1:10" ht="12.75">
      <c r="A238" s="2"/>
      <c r="B238" s="19" t="s">
        <v>45</v>
      </c>
      <c r="E238" s="2"/>
      <c r="F238" s="19" t="s">
        <v>70</v>
      </c>
      <c r="J238" s="19" t="s">
        <v>67</v>
      </c>
    </row>
    <row r="239" spans="1:10" ht="12.75">
      <c r="A239" s="2" t="s">
        <v>98</v>
      </c>
      <c r="B239" s="58">
        <f>+B235/B237</f>
        <v>64.5</v>
      </c>
      <c r="E239" s="2" t="s">
        <v>245</v>
      </c>
      <c r="F239" s="221">
        <f>+B237</f>
        <v>8</v>
      </c>
      <c r="I239" s="2" t="s">
        <v>245</v>
      </c>
      <c r="J239" s="221">
        <f>+B237</f>
        <v>8</v>
      </c>
    </row>
    <row r="240" spans="1:10" ht="12.75">
      <c r="A240" s="2"/>
      <c r="B240" s="19" t="s">
        <v>41</v>
      </c>
      <c r="E240" s="2"/>
      <c r="F240" s="19" t="s">
        <v>67</v>
      </c>
      <c r="J240" s="19" t="s">
        <v>43</v>
      </c>
    </row>
    <row r="241" spans="1:10" ht="12.75">
      <c r="A241" s="2" t="s">
        <v>99</v>
      </c>
      <c r="B241" s="210">
        <f>+J170</f>
        <v>0.15</v>
      </c>
      <c r="E241" s="2" t="s">
        <v>247</v>
      </c>
      <c r="F241" s="5">
        <f>+C213</f>
        <v>2</v>
      </c>
      <c r="I241" s="47" t="s">
        <v>328</v>
      </c>
      <c r="J241" s="295">
        <f>+J235*J237/J239</f>
        <v>14.813374635568513</v>
      </c>
    </row>
    <row r="242" spans="1:6" ht="12.75">
      <c r="A242" s="2"/>
      <c r="B242" s="19" t="s">
        <v>43</v>
      </c>
      <c r="F242" s="19" t="s">
        <v>43</v>
      </c>
    </row>
    <row r="243" spans="1:6" ht="12.75">
      <c r="A243" s="2" t="s">
        <v>97</v>
      </c>
      <c r="B243" s="58">
        <f>+B241*B239+B239</f>
        <v>74.175</v>
      </c>
      <c r="E243" s="47" t="s">
        <v>250</v>
      </c>
      <c r="F243" s="58">
        <f>+F235/F237*F239/F241</f>
        <v>51.90087463556851</v>
      </c>
    </row>
    <row r="246" ht="14.25">
      <c r="A246" s="219" t="s">
        <v>330</v>
      </c>
    </row>
    <row r="247" spans="2:3" ht="12.75">
      <c r="B247" s="47" t="s">
        <v>246</v>
      </c>
      <c r="C247" s="222">
        <f>+F243</f>
        <v>51.90087463556851</v>
      </c>
    </row>
    <row r="248" ht="12.75">
      <c r="C248" s="19" t="s">
        <v>70</v>
      </c>
    </row>
    <row r="249" spans="2:3" ht="12.75">
      <c r="B249" s="270" t="s">
        <v>247</v>
      </c>
      <c r="C249" s="5">
        <f>+F241</f>
        <v>2</v>
      </c>
    </row>
    <row r="250" ht="12.75">
      <c r="C250" s="19" t="s">
        <v>43</v>
      </c>
    </row>
    <row r="251" spans="2:3" ht="12.75">
      <c r="B251" s="270" t="s">
        <v>248</v>
      </c>
      <c r="C251" s="58">
        <f>+C249*C247</f>
        <v>103.80174927113703</v>
      </c>
    </row>
    <row r="252" spans="2:4" ht="12.75">
      <c r="B252" s="47" t="s">
        <v>71</v>
      </c>
      <c r="C252" s="58">
        <f>+I191</f>
        <v>0.9527777777777778</v>
      </c>
      <c r="D252" t="s">
        <v>283</v>
      </c>
    </row>
  </sheetData>
  <mergeCells count="87">
    <mergeCell ref="H8:K9"/>
    <mergeCell ref="E36:E37"/>
    <mergeCell ref="C27:C28"/>
    <mergeCell ref="D27:D28"/>
    <mergeCell ref="E27:E28"/>
    <mergeCell ref="J27:J28"/>
    <mergeCell ref="K27:K28"/>
    <mergeCell ref="D36:D37"/>
    <mergeCell ref="I27:I28"/>
    <mergeCell ref="C36:C37"/>
    <mergeCell ref="C48:C49"/>
    <mergeCell ref="D48:D49"/>
    <mergeCell ref="E48:E49"/>
    <mergeCell ref="G127:J127"/>
    <mergeCell ref="J48:J49"/>
    <mergeCell ref="G52:H52"/>
    <mergeCell ref="G54:H54"/>
    <mergeCell ref="G55:H55"/>
    <mergeCell ref="B86:C86"/>
    <mergeCell ref="E86:F86"/>
    <mergeCell ref="K48:K49"/>
    <mergeCell ref="G50:H50"/>
    <mergeCell ref="G51:H51"/>
    <mergeCell ref="I48:I49"/>
    <mergeCell ref="G53:H53"/>
    <mergeCell ref="B87:C87"/>
    <mergeCell ref="E87:F87"/>
    <mergeCell ref="F96:F97"/>
    <mergeCell ref="A97:A98"/>
    <mergeCell ref="G104:H104"/>
    <mergeCell ref="G105:H105"/>
    <mergeCell ref="G106:H106"/>
    <mergeCell ref="G101:K101"/>
    <mergeCell ref="G102:H102"/>
    <mergeCell ref="I102:I103"/>
    <mergeCell ref="J102:J103"/>
    <mergeCell ref="K102:K103"/>
    <mergeCell ref="G103:H103"/>
    <mergeCell ref="G111:K111"/>
    <mergeCell ref="H112:I112"/>
    <mergeCell ref="H113:I113"/>
    <mergeCell ref="H114:I114"/>
    <mergeCell ref="K122:K123"/>
    <mergeCell ref="K126:K127"/>
    <mergeCell ref="H115:I115"/>
    <mergeCell ref="H116:I116"/>
    <mergeCell ref="H117:I117"/>
    <mergeCell ref="G120:K120"/>
    <mergeCell ref="G129:J129"/>
    <mergeCell ref="I131:J131"/>
    <mergeCell ref="I132:J132"/>
    <mergeCell ref="G122:J123"/>
    <mergeCell ref="J139:K139"/>
    <mergeCell ref="H141:J141"/>
    <mergeCell ref="A160:B160"/>
    <mergeCell ref="G135:K135"/>
    <mergeCell ref="J136:K138"/>
    <mergeCell ref="B137:B138"/>
    <mergeCell ref="F137:F138"/>
    <mergeCell ref="G139:H139"/>
    <mergeCell ref="B192:K192"/>
    <mergeCell ref="I195:I199"/>
    <mergeCell ref="A199:B199"/>
    <mergeCell ref="F189:G190"/>
    <mergeCell ref="I189:K190"/>
    <mergeCell ref="F191:G191"/>
    <mergeCell ref="I191:K191"/>
    <mergeCell ref="A161:B161"/>
    <mergeCell ref="D229:E229"/>
    <mergeCell ref="C8:C9"/>
    <mergeCell ref="D8:D9"/>
    <mergeCell ref="E8:E9"/>
    <mergeCell ref="B225:G225"/>
    <mergeCell ref="B226:E226"/>
    <mergeCell ref="G226:G227"/>
    <mergeCell ref="D227:E227"/>
    <mergeCell ref="A200:B200"/>
    <mergeCell ref="A162:B162"/>
    <mergeCell ref="B104:B106"/>
    <mergeCell ref="G126:J126"/>
    <mergeCell ref="D228:E228"/>
    <mergeCell ref="H228:I228"/>
    <mergeCell ref="A201:B201"/>
    <mergeCell ref="A206:B206"/>
    <mergeCell ref="A163:B163"/>
    <mergeCell ref="A167:B167"/>
    <mergeCell ref="G130:I130"/>
  </mergeCells>
  <printOptions/>
  <pageMargins left="0.75" right="0.75" top="1" bottom="1" header="0.5" footer="0.5"/>
  <pageSetup cellComments="asDisplayed" horizontalDpi="600" verticalDpi="600" orientation="landscape" scale="67" r:id="rId4"/>
  <headerFooter alignWithMargins="0">
    <oddFooter>&amp;LFichier : &amp;F
Onglet : &amp;A
Page &amp;P de &amp;N&amp;CMine-laboratoire
Val-d'Or&amp;R&amp;D
&amp;T</oddFooter>
  </headerFooter>
  <rowBreaks count="2" manualBreakCount="2">
    <brk id="81" max="10" man="1"/>
    <brk id="118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1">
      <selection activeCell="D67" sqref="D67"/>
    </sheetView>
  </sheetViews>
  <sheetFormatPr defaultColWidth="9.140625" defaultRowHeight="12.75"/>
  <cols>
    <col min="1" max="1" width="15.8515625" style="0" customWidth="1"/>
    <col min="2" max="2" width="11.421875" style="0" customWidth="1"/>
    <col min="3" max="3" width="12.421875" style="0" customWidth="1"/>
    <col min="4" max="6" width="11.421875" style="0" customWidth="1"/>
    <col min="7" max="7" width="9.28125" style="0" customWidth="1"/>
    <col min="8" max="8" width="13.57421875" style="0" customWidth="1"/>
    <col min="9" max="9" width="11.421875" style="0" customWidth="1"/>
    <col min="10" max="10" width="12.57421875" style="0" customWidth="1"/>
    <col min="11" max="11" width="13.57421875" style="0" customWidth="1"/>
    <col min="12" max="12" width="14.140625" style="0" customWidth="1"/>
    <col min="13" max="16384" width="11.421875" style="0" customWidth="1"/>
  </cols>
  <sheetData>
    <row r="1" ht="14.25">
      <c r="J1" s="61" t="s">
        <v>339</v>
      </c>
    </row>
    <row r="2" ht="36.75">
      <c r="A2" s="12" t="s">
        <v>12</v>
      </c>
    </row>
    <row r="3" spans="1:6" ht="12.75">
      <c r="A3" s="513" t="s">
        <v>284</v>
      </c>
      <c r="B3" s="513"/>
      <c r="C3" s="513"/>
      <c r="D3" s="297" t="s">
        <v>114</v>
      </c>
      <c r="E3" s="431" t="s">
        <v>331</v>
      </c>
      <c r="F3" s="514"/>
    </row>
    <row r="4" spans="1:11" ht="18" customHeight="1" thickBot="1">
      <c r="A4" s="513"/>
      <c r="B4" s="513"/>
      <c r="C4" s="513"/>
      <c r="D4" s="276">
        <v>53</v>
      </c>
      <c r="E4" s="515" t="s">
        <v>73</v>
      </c>
      <c r="F4" s="516"/>
      <c r="H4" s="517" t="s">
        <v>257</v>
      </c>
      <c r="I4" s="517"/>
      <c r="J4" s="517"/>
      <c r="K4" s="517"/>
    </row>
    <row r="5" spans="8:12" ht="12.75">
      <c r="H5" s="42" t="s">
        <v>15</v>
      </c>
      <c r="I5" s="42" t="s">
        <v>115</v>
      </c>
      <c r="J5" s="42" t="s">
        <v>116</v>
      </c>
      <c r="K5" s="42" t="s">
        <v>258</v>
      </c>
      <c r="L5" s="42" t="s">
        <v>114</v>
      </c>
    </row>
    <row r="6" spans="6:12" ht="41.25" customHeight="1">
      <c r="F6" s="511" t="str">
        <f>+A12</f>
        <v>TREUIL               18.5HP @ 90psi        (Ingersoll-Rand)</v>
      </c>
      <c r="G6" s="511"/>
      <c r="H6" s="275">
        <v>20</v>
      </c>
      <c r="I6" s="43">
        <f>+B27</f>
        <v>49</v>
      </c>
      <c r="J6" s="52">
        <f>+C27</f>
        <v>23.13706096532902</v>
      </c>
      <c r="K6" s="277">
        <v>0.95</v>
      </c>
      <c r="L6" s="43">
        <f>+K6*I6</f>
        <v>46.55</v>
      </c>
    </row>
    <row r="7" spans="6:12" ht="24.75" customHeight="1">
      <c r="F7" s="512" t="str">
        <f>+A31</f>
        <v>CAVO 310</v>
      </c>
      <c r="G7" s="512"/>
      <c r="H7" s="275">
        <v>50</v>
      </c>
      <c r="I7" s="43">
        <f>+B39</f>
        <v>36</v>
      </c>
      <c r="J7" s="52">
        <f>+C39</f>
        <v>16.65285164821261</v>
      </c>
      <c r="K7" s="277">
        <v>0.9</v>
      </c>
      <c r="L7" s="43">
        <f>+K7*I7</f>
        <v>32.4</v>
      </c>
    </row>
    <row r="8" spans="6:12" ht="25.5" customHeight="1">
      <c r="F8" s="511" t="str">
        <f>+A46</f>
        <v>CHARGEUSE      EJC 60E</v>
      </c>
      <c r="G8" s="511"/>
      <c r="H8" s="275">
        <v>80</v>
      </c>
      <c r="I8" s="43">
        <f>+B57</f>
        <v>39</v>
      </c>
      <c r="J8" s="52">
        <f>+C57</f>
        <v>18.099727054033</v>
      </c>
      <c r="K8" s="277">
        <v>0.85</v>
      </c>
      <c r="L8" s="43">
        <f>+K8*I8</f>
        <v>33.15</v>
      </c>
    </row>
    <row r="9" spans="1:12" ht="25.5" customHeight="1">
      <c r="A9" s="296" t="s">
        <v>256</v>
      </c>
      <c r="B9" s="280">
        <f>2.95/1.38</f>
        <v>2.13768115942029</v>
      </c>
      <c r="F9" s="511" t="str">
        <f>+A62</f>
        <v>VOTRE ÉQUIPEMENT</v>
      </c>
      <c r="G9" s="511"/>
      <c r="H9" s="275">
        <v>90</v>
      </c>
      <c r="I9" s="43">
        <f>+B73</f>
        <v>38</v>
      </c>
      <c r="J9" s="52">
        <f>+C73</f>
        <v>17.71456818660948</v>
      </c>
      <c r="K9" s="277">
        <v>0.85</v>
      </c>
      <c r="L9" s="43">
        <f>+K9*I9</f>
        <v>32.3</v>
      </c>
    </row>
    <row r="10" ht="13.5" thickBot="1"/>
    <row r="11" spans="1:10" ht="12.75">
      <c r="A11" s="28"/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.75">
      <c r="A12" s="45" t="s">
        <v>259</v>
      </c>
      <c r="B12" s="31"/>
      <c r="C12" s="26"/>
      <c r="D12" s="26"/>
      <c r="E12" s="27"/>
      <c r="F12" s="2"/>
      <c r="G12" s="2"/>
      <c r="H12" s="2"/>
      <c r="I12" s="2"/>
      <c r="J12" s="33"/>
    </row>
    <row r="13" spans="1:10" ht="12.75">
      <c r="A13" s="34" t="s">
        <v>15</v>
      </c>
      <c r="B13" s="1" t="s">
        <v>115</v>
      </c>
      <c r="C13" s="1" t="s">
        <v>116</v>
      </c>
      <c r="D13" s="1" t="s">
        <v>110</v>
      </c>
      <c r="E13" s="1" t="s">
        <v>114</v>
      </c>
      <c r="F13" s="2"/>
      <c r="G13" s="2"/>
      <c r="H13" s="2"/>
      <c r="I13" s="2"/>
      <c r="J13" s="33"/>
    </row>
    <row r="14" spans="1:10" ht="12.75">
      <c r="A14" s="35">
        <f>+D14/3.28</f>
        <v>12.195121951219512</v>
      </c>
      <c r="B14" s="20">
        <f>+E14/1.1023</f>
        <v>68.94674770933503</v>
      </c>
      <c r="C14" s="1">
        <f>ROUND(B14/$B$9,0)</f>
        <v>32</v>
      </c>
      <c r="D14" s="21">
        <v>40</v>
      </c>
      <c r="E14" s="22">
        <v>76</v>
      </c>
      <c r="F14" s="2"/>
      <c r="G14" s="2"/>
      <c r="H14" s="2"/>
      <c r="I14" s="2"/>
      <c r="J14" s="33"/>
    </row>
    <row r="15" spans="1:10" ht="12.75">
      <c r="A15" s="35">
        <f aca="true" t="shared" si="0" ref="A15:A25">+D15/3.28</f>
        <v>18.29268292682927</v>
      </c>
      <c r="B15" s="20">
        <f aca="true" t="shared" si="1" ref="B15:B25">+E15/1.1023</f>
        <v>53.52444887961535</v>
      </c>
      <c r="C15" s="1">
        <f aca="true" t="shared" si="2" ref="C15:C25">ROUND(B15/$B$9,0)</f>
        <v>25</v>
      </c>
      <c r="D15" s="23">
        <v>60</v>
      </c>
      <c r="E15" s="24">
        <v>59</v>
      </c>
      <c r="F15" s="2"/>
      <c r="G15" s="2"/>
      <c r="H15" s="2"/>
      <c r="I15" s="2"/>
      <c r="J15" s="33"/>
    </row>
    <row r="16" spans="1:10" ht="12.75">
      <c r="A16" s="35">
        <f t="shared" si="0"/>
        <v>24.390243902439025</v>
      </c>
      <c r="B16" s="20">
        <f t="shared" si="1"/>
        <v>42.63812029393087</v>
      </c>
      <c r="C16" s="1">
        <f t="shared" si="2"/>
        <v>20</v>
      </c>
      <c r="D16" s="23">
        <v>80</v>
      </c>
      <c r="E16" s="24">
        <v>47</v>
      </c>
      <c r="F16" s="2"/>
      <c r="G16" s="2"/>
      <c r="H16" s="2"/>
      <c r="I16" s="2"/>
      <c r="J16" s="33"/>
    </row>
    <row r="17" spans="1:10" ht="12.75">
      <c r="A17" s="35">
        <f t="shared" si="0"/>
        <v>30.48780487804878</v>
      </c>
      <c r="B17" s="20">
        <f t="shared" si="1"/>
        <v>36.28776195228159</v>
      </c>
      <c r="C17" s="1">
        <f t="shared" si="2"/>
        <v>17</v>
      </c>
      <c r="D17" s="23">
        <v>100</v>
      </c>
      <c r="E17" s="24">
        <v>40</v>
      </c>
      <c r="F17" s="2"/>
      <c r="G17" s="2"/>
      <c r="H17" s="2"/>
      <c r="I17" s="2"/>
      <c r="J17" s="33"/>
    </row>
    <row r="18" spans="1:10" ht="12.75">
      <c r="A18" s="35">
        <f t="shared" si="0"/>
        <v>36.58536585365854</v>
      </c>
      <c r="B18" s="20">
        <f t="shared" si="1"/>
        <v>30.84459765943935</v>
      </c>
      <c r="C18" s="1">
        <f t="shared" si="2"/>
        <v>14</v>
      </c>
      <c r="D18" s="23">
        <v>120</v>
      </c>
      <c r="E18" s="24">
        <v>34</v>
      </c>
      <c r="F18" s="2"/>
      <c r="G18" s="2"/>
      <c r="H18" s="2"/>
      <c r="I18" s="2"/>
      <c r="J18" s="33"/>
    </row>
    <row r="19" spans="1:10" ht="12.75">
      <c r="A19" s="35">
        <f t="shared" si="0"/>
        <v>42.6829268292683</v>
      </c>
      <c r="B19" s="20">
        <f t="shared" si="1"/>
        <v>27.215821464211192</v>
      </c>
      <c r="C19" s="1">
        <f t="shared" si="2"/>
        <v>13</v>
      </c>
      <c r="D19" s="23">
        <v>140</v>
      </c>
      <c r="E19" s="24">
        <v>30</v>
      </c>
      <c r="F19" s="2"/>
      <c r="G19" s="2"/>
      <c r="H19" s="2"/>
      <c r="I19" s="2"/>
      <c r="J19" s="33"/>
    </row>
    <row r="20" spans="1:10" ht="12.75">
      <c r="A20" s="35">
        <f t="shared" si="0"/>
        <v>48.78048780487805</v>
      </c>
      <c r="B20" s="20">
        <f t="shared" si="1"/>
        <v>25.401433366597114</v>
      </c>
      <c r="C20" s="1">
        <f t="shared" si="2"/>
        <v>12</v>
      </c>
      <c r="D20" s="23">
        <v>160</v>
      </c>
      <c r="E20" s="24">
        <v>28</v>
      </c>
      <c r="F20" s="2"/>
      <c r="G20" s="2"/>
      <c r="H20" s="2"/>
      <c r="I20" s="2"/>
      <c r="J20" s="33"/>
    </row>
    <row r="21" spans="1:10" ht="12.75">
      <c r="A21" s="35">
        <f t="shared" si="0"/>
        <v>54.87804878048781</v>
      </c>
      <c r="B21" s="20">
        <f t="shared" si="1"/>
        <v>23.587045268983033</v>
      </c>
      <c r="C21" s="1">
        <f t="shared" si="2"/>
        <v>11</v>
      </c>
      <c r="D21" s="23">
        <v>180</v>
      </c>
      <c r="E21" s="24">
        <v>26</v>
      </c>
      <c r="F21" s="2"/>
      <c r="G21" s="2"/>
      <c r="H21" s="2"/>
      <c r="I21" s="2"/>
      <c r="J21" s="33"/>
    </row>
    <row r="22" spans="1:10" ht="12.75">
      <c r="A22" s="35">
        <f t="shared" si="0"/>
        <v>60.97560975609756</v>
      </c>
      <c r="B22" s="20">
        <f t="shared" si="1"/>
        <v>19.051075024947835</v>
      </c>
      <c r="C22" s="1">
        <f t="shared" si="2"/>
        <v>9</v>
      </c>
      <c r="D22" s="23">
        <v>200</v>
      </c>
      <c r="E22" s="24">
        <v>21</v>
      </c>
      <c r="F22" s="2"/>
      <c r="G22" s="2"/>
      <c r="H22" s="2"/>
      <c r="I22" s="2"/>
      <c r="J22" s="33"/>
    </row>
    <row r="23" spans="1:10" ht="12.75">
      <c r="A23" s="35">
        <f t="shared" si="0"/>
        <v>67.07317073170732</v>
      </c>
      <c r="B23" s="20">
        <f t="shared" si="1"/>
        <v>18.143880976140796</v>
      </c>
      <c r="C23" s="1">
        <f t="shared" si="2"/>
        <v>8</v>
      </c>
      <c r="D23" s="23">
        <v>220</v>
      </c>
      <c r="E23" s="24">
        <v>20</v>
      </c>
      <c r="F23" s="2"/>
      <c r="G23" s="2"/>
      <c r="H23" s="2"/>
      <c r="I23" s="2"/>
      <c r="J23" s="33"/>
    </row>
    <row r="24" spans="1:10" ht="12.75">
      <c r="A24" s="35">
        <f t="shared" si="0"/>
        <v>73.17073170731707</v>
      </c>
      <c r="B24" s="20">
        <f t="shared" si="1"/>
        <v>16.329492878526715</v>
      </c>
      <c r="C24" s="1">
        <f t="shared" si="2"/>
        <v>8</v>
      </c>
      <c r="D24" s="23">
        <v>240</v>
      </c>
      <c r="E24" s="24">
        <v>18</v>
      </c>
      <c r="F24" s="2"/>
      <c r="G24" s="2"/>
      <c r="H24" s="2"/>
      <c r="I24" s="2"/>
      <c r="J24" s="33"/>
    </row>
    <row r="25" spans="1:10" ht="12.75">
      <c r="A25" s="35">
        <f t="shared" si="0"/>
        <v>91.46341463414635</v>
      </c>
      <c r="B25" s="20">
        <f t="shared" si="1"/>
        <v>12.700716683298557</v>
      </c>
      <c r="C25" s="1">
        <f t="shared" si="2"/>
        <v>6</v>
      </c>
      <c r="D25" s="25">
        <v>300</v>
      </c>
      <c r="E25" s="11">
        <v>14</v>
      </c>
      <c r="F25" s="2"/>
      <c r="G25" s="2"/>
      <c r="H25" s="2"/>
      <c r="I25" s="2"/>
      <c r="J25" s="33"/>
    </row>
    <row r="26" spans="1:10" ht="12.75">
      <c r="A26" s="36" t="s">
        <v>260</v>
      </c>
      <c r="B26" s="2"/>
      <c r="C26" s="2"/>
      <c r="D26" s="2"/>
      <c r="E26" s="2"/>
      <c r="F26" s="2"/>
      <c r="G26" s="2"/>
      <c r="H26" s="2"/>
      <c r="I26" s="2"/>
      <c r="J26" s="33"/>
    </row>
    <row r="27" spans="1:10" ht="12.75">
      <c r="A27" s="46">
        <f>+H6</f>
        <v>20</v>
      </c>
      <c r="B27" s="5">
        <f>ROUND(C27*$B$9,0)</f>
        <v>49</v>
      </c>
      <c r="C27" s="76">
        <f>IF(A27&lt;10," distance ?",POWER(A27,-0.8233)*272.55)</f>
        <v>23.13706096532902</v>
      </c>
      <c r="D27" s="2"/>
      <c r="E27" s="2"/>
      <c r="F27" s="2"/>
      <c r="G27" s="2"/>
      <c r="H27" s="2"/>
      <c r="I27" s="2"/>
      <c r="J27" s="33"/>
    </row>
    <row r="28" spans="1:10" ht="13.5" thickBot="1">
      <c r="A28" s="37"/>
      <c r="B28" s="38"/>
      <c r="C28" s="38"/>
      <c r="D28" s="38"/>
      <c r="E28" s="38"/>
      <c r="F28" s="38"/>
      <c r="G28" s="38"/>
      <c r="H28" s="38"/>
      <c r="I28" s="38"/>
      <c r="J28" s="39"/>
    </row>
    <row r="29" ht="13.5" thickBot="1"/>
    <row r="30" spans="1:10" ht="12.75">
      <c r="A30" s="28"/>
      <c r="B30" s="29"/>
      <c r="C30" s="29"/>
      <c r="D30" s="29"/>
      <c r="E30" s="29"/>
      <c r="F30" s="29"/>
      <c r="G30" s="29"/>
      <c r="H30" s="29"/>
      <c r="I30" s="29"/>
      <c r="J30" s="30"/>
    </row>
    <row r="31" spans="1:10" ht="15">
      <c r="A31" s="44" t="s">
        <v>14</v>
      </c>
      <c r="B31" s="2"/>
      <c r="C31" s="2"/>
      <c r="D31" s="2"/>
      <c r="E31" s="2"/>
      <c r="F31" s="2"/>
      <c r="G31" s="2"/>
      <c r="H31" s="2"/>
      <c r="I31" s="2"/>
      <c r="J31" s="33"/>
    </row>
    <row r="32" spans="1:10" ht="12.75">
      <c r="A32" s="34" t="s">
        <v>15</v>
      </c>
      <c r="B32" s="1" t="s">
        <v>115</v>
      </c>
      <c r="C32" s="1" t="s">
        <v>116</v>
      </c>
      <c r="D32" s="2"/>
      <c r="E32" s="2"/>
      <c r="F32" s="2"/>
      <c r="G32" s="2"/>
      <c r="H32" s="2"/>
      <c r="I32" s="2"/>
      <c r="J32" s="33"/>
    </row>
    <row r="33" spans="1:10" ht="12.75">
      <c r="A33" s="34">
        <v>10</v>
      </c>
      <c r="B33" s="1">
        <f>ROUND(C33*$B$9,0)</f>
        <v>52</v>
      </c>
      <c r="C33" s="1">
        <v>24.2</v>
      </c>
      <c r="D33" s="2"/>
      <c r="E33" s="2"/>
      <c r="F33" s="2"/>
      <c r="G33" s="2"/>
      <c r="H33" s="2"/>
      <c r="I33" s="2"/>
      <c r="J33" s="33"/>
    </row>
    <row r="34" spans="1:10" ht="12.75">
      <c r="A34" s="34">
        <v>25</v>
      </c>
      <c r="B34" s="1">
        <f>ROUND(C34*$B$9,0)</f>
        <v>43</v>
      </c>
      <c r="C34" s="1">
        <v>20</v>
      </c>
      <c r="D34" s="2"/>
      <c r="E34" s="2"/>
      <c r="F34" s="2"/>
      <c r="G34" s="2"/>
      <c r="H34" s="2"/>
      <c r="I34" s="2"/>
      <c r="J34" s="33"/>
    </row>
    <row r="35" spans="1:10" ht="12.75">
      <c r="A35" s="34">
        <v>50</v>
      </c>
      <c r="B35" s="1">
        <f>ROUND(C35*$B$9,0)</f>
        <v>35</v>
      </c>
      <c r="C35" s="1">
        <v>16.3</v>
      </c>
      <c r="D35" s="2"/>
      <c r="E35" s="2"/>
      <c r="F35" s="2"/>
      <c r="G35" s="2"/>
      <c r="H35" s="2"/>
      <c r="I35" s="2"/>
      <c r="J35" s="33"/>
    </row>
    <row r="36" spans="1:10" ht="12.75">
      <c r="A36" s="34">
        <v>75</v>
      </c>
      <c r="B36" s="1">
        <f>ROUND(C36*$B$9,0)</f>
        <v>28</v>
      </c>
      <c r="C36" s="1">
        <v>13.3</v>
      </c>
      <c r="D36" s="2"/>
      <c r="E36" s="2"/>
      <c r="F36" s="2"/>
      <c r="G36" s="2"/>
      <c r="H36" s="2"/>
      <c r="I36" s="2"/>
      <c r="J36" s="33"/>
    </row>
    <row r="37" spans="1:10" ht="12.75">
      <c r="A37" s="34">
        <v>100</v>
      </c>
      <c r="B37" s="1">
        <f>ROUND(C37*$B$9,0)</f>
        <v>24</v>
      </c>
      <c r="C37" s="1">
        <v>11.2</v>
      </c>
      <c r="D37" s="2"/>
      <c r="E37" s="2"/>
      <c r="F37" s="2"/>
      <c r="G37" s="2"/>
      <c r="H37" s="2"/>
      <c r="I37" s="2"/>
      <c r="J37" s="33"/>
    </row>
    <row r="38" spans="1:10" ht="12.75">
      <c r="A38" s="36" t="s">
        <v>260</v>
      </c>
      <c r="B38" s="2"/>
      <c r="C38" s="2"/>
      <c r="D38" s="2"/>
      <c r="E38" s="2"/>
      <c r="F38" s="2"/>
      <c r="G38" s="2"/>
      <c r="H38" s="2"/>
      <c r="I38" s="2"/>
      <c r="J38" s="33"/>
    </row>
    <row r="39" spans="1:10" ht="12.75">
      <c r="A39" s="46">
        <f>+H7</f>
        <v>50</v>
      </c>
      <c r="B39" s="5">
        <f>ROUND(C39*$B$9,0)</f>
        <v>36</v>
      </c>
      <c r="C39" s="58">
        <f>IF(A39&lt;10," distance ?",EXP(-0.0084*A39)*25.345)</f>
        <v>16.65285164821261</v>
      </c>
      <c r="D39" s="2"/>
      <c r="E39" s="2"/>
      <c r="F39" s="2"/>
      <c r="G39" s="2"/>
      <c r="H39" s="2"/>
      <c r="I39" s="2"/>
      <c r="J39" s="33"/>
    </row>
    <row r="40" spans="1:10" ht="12.75">
      <c r="A40" s="36"/>
      <c r="B40" s="40"/>
      <c r="C40" s="2"/>
      <c r="D40" s="2"/>
      <c r="E40" s="2"/>
      <c r="F40" s="2"/>
      <c r="G40" s="2"/>
      <c r="H40" s="2"/>
      <c r="I40" s="2"/>
      <c r="J40" s="33"/>
    </row>
    <row r="41" spans="1:10" ht="12.75">
      <c r="A41" s="36"/>
      <c r="B41" s="40"/>
      <c r="C41" s="2"/>
      <c r="D41" s="2"/>
      <c r="E41" s="2"/>
      <c r="F41" s="2"/>
      <c r="G41" s="2"/>
      <c r="H41" s="2"/>
      <c r="I41" s="2"/>
      <c r="J41" s="33"/>
    </row>
    <row r="42" spans="1:10" ht="12.75">
      <c r="A42" s="36"/>
      <c r="B42" s="40"/>
      <c r="C42" s="2"/>
      <c r="D42" s="2"/>
      <c r="E42" s="2"/>
      <c r="F42" s="2"/>
      <c r="G42" s="2"/>
      <c r="H42" s="2"/>
      <c r="I42" s="2"/>
      <c r="J42" s="33"/>
    </row>
    <row r="43" spans="1:10" ht="13.5" thickBot="1">
      <c r="A43" s="37"/>
      <c r="B43" s="41"/>
      <c r="C43" s="38"/>
      <c r="D43" s="38"/>
      <c r="E43" s="38"/>
      <c r="F43" s="38"/>
      <c r="G43" s="38"/>
      <c r="H43" s="38"/>
      <c r="I43" s="38"/>
      <c r="J43" s="39"/>
    </row>
    <row r="44" ht="13.5" thickBot="1"/>
    <row r="45" spans="1:10" ht="12.75">
      <c r="A45" s="28"/>
      <c r="B45" s="29"/>
      <c r="C45" s="29"/>
      <c r="D45" s="29"/>
      <c r="E45" s="29"/>
      <c r="F45" s="29"/>
      <c r="G45" s="29"/>
      <c r="H45" s="29"/>
      <c r="I45" s="29"/>
      <c r="J45" s="30"/>
    </row>
    <row r="46" spans="1:10" ht="15">
      <c r="A46" s="44" t="s">
        <v>16</v>
      </c>
      <c r="B46" s="26"/>
      <c r="C46" s="27"/>
      <c r="D46" s="2"/>
      <c r="E46" s="2"/>
      <c r="F46" s="2"/>
      <c r="G46" s="2"/>
      <c r="H46" s="2"/>
      <c r="I46" s="2"/>
      <c r="J46" s="33"/>
    </row>
    <row r="47" spans="1:10" ht="12.75">
      <c r="A47" s="34" t="s">
        <v>15</v>
      </c>
      <c r="B47" s="1" t="s">
        <v>115</v>
      </c>
      <c r="C47" s="1" t="s">
        <v>116</v>
      </c>
      <c r="D47" s="2"/>
      <c r="E47" s="2"/>
      <c r="F47" s="2"/>
      <c r="G47" s="2"/>
      <c r="H47" s="2"/>
      <c r="I47" s="2"/>
      <c r="J47" s="33"/>
    </row>
    <row r="48" spans="1:10" ht="12.75">
      <c r="A48" s="34">
        <v>10</v>
      </c>
      <c r="B48" s="1">
        <f aca="true" t="shared" si="3" ref="B48:B55">ROUND(C48*$B$9,0)</f>
        <v>53</v>
      </c>
      <c r="C48" s="1">
        <v>25</v>
      </c>
      <c r="D48" s="2"/>
      <c r="E48" s="2"/>
      <c r="F48" s="2"/>
      <c r="G48" s="2"/>
      <c r="H48" s="2"/>
      <c r="I48" s="2"/>
      <c r="J48" s="33"/>
    </row>
    <row r="49" spans="1:10" ht="12.75">
      <c r="A49" s="34">
        <v>25</v>
      </c>
      <c r="B49" s="1">
        <f t="shared" si="3"/>
        <v>47</v>
      </c>
      <c r="C49" s="1">
        <v>22</v>
      </c>
      <c r="D49" s="2"/>
      <c r="E49" s="2"/>
      <c r="F49" s="2"/>
      <c r="G49" s="2"/>
      <c r="H49" s="2"/>
      <c r="I49" s="2"/>
      <c r="J49" s="33"/>
    </row>
    <row r="50" spans="1:10" ht="12.75">
      <c r="A50" s="34">
        <v>50</v>
      </c>
      <c r="B50" s="1">
        <f t="shared" si="3"/>
        <v>43</v>
      </c>
      <c r="C50" s="1">
        <v>20</v>
      </c>
      <c r="D50" s="2"/>
      <c r="E50" s="2"/>
      <c r="F50" s="2"/>
      <c r="G50" s="2"/>
      <c r="H50" s="2"/>
      <c r="I50" s="2"/>
      <c r="J50" s="33"/>
    </row>
    <row r="51" spans="1:10" ht="12.75">
      <c r="A51" s="34">
        <v>75</v>
      </c>
      <c r="B51" s="1">
        <f t="shared" si="3"/>
        <v>38</v>
      </c>
      <c r="C51" s="1">
        <v>18</v>
      </c>
      <c r="D51" s="2"/>
      <c r="E51" s="2"/>
      <c r="F51" s="2"/>
      <c r="G51" s="2"/>
      <c r="H51" s="2"/>
      <c r="I51" s="2"/>
      <c r="J51" s="33"/>
    </row>
    <row r="52" spans="1:10" ht="12.75">
      <c r="A52" s="34">
        <v>100</v>
      </c>
      <c r="B52" s="1">
        <f t="shared" si="3"/>
        <v>34</v>
      </c>
      <c r="C52" s="1">
        <v>16</v>
      </c>
      <c r="D52" s="2"/>
      <c r="E52" s="2"/>
      <c r="F52" s="2"/>
      <c r="G52" s="2"/>
      <c r="H52" s="2"/>
      <c r="I52" s="2"/>
      <c r="J52" s="33"/>
    </row>
    <row r="53" spans="1:10" ht="12.75">
      <c r="A53" s="34">
        <v>125</v>
      </c>
      <c r="B53" s="1">
        <f t="shared" si="3"/>
        <v>32</v>
      </c>
      <c r="C53" s="1">
        <v>15</v>
      </c>
      <c r="D53" s="2"/>
      <c r="E53" s="2"/>
      <c r="F53" s="2"/>
      <c r="G53" s="2"/>
      <c r="H53" s="2"/>
      <c r="I53" s="2"/>
      <c r="J53" s="33"/>
    </row>
    <row r="54" spans="1:10" ht="12.75">
      <c r="A54" s="34">
        <v>150</v>
      </c>
      <c r="B54" s="1">
        <f t="shared" si="3"/>
        <v>30</v>
      </c>
      <c r="C54" s="1">
        <v>14</v>
      </c>
      <c r="D54" s="2"/>
      <c r="E54" s="2"/>
      <c r="F54" s="2"/>
      <c r="G54" s="2"/>
      <c r="H54" s="2"/>
      <c r="I54" s="2"/>
      <c r="J54" s="33"/>
    </row>
    <row r="55" spans="1:10" ht="12.75">
      <c r="A55" s="34">
        <v>175</v>
      </c>
      <c r="B55" s="1">
        <f t="shared" si="3"/>
        <v>28</v>
      </c>
      <c r="C55" s="1">
        <v>13</v>
      </c>
      <c r="D55" s="2"/>
      <c r="E55" s="2"/>
      <c r="F55" s="2"/>
      <c r="G55" s="2"/>
      <c r="H55" s="2"/>
      <c r="I55" s="2"/>
      <c r="J55" s="33"/>
    </row>
    <row r="56" spans="1:10" ht="12.75">
      <c r="A56" s="36" t="s">
        <v>260</v>
      </c>
      <c r="B56" s="2"/>
      <c r="C56" s="2"/>
      <c r="D56" s="2"/>
      <c r="E56" s="2"/>
      <c r="F56" s="2"/>
      <c r="G56" s="2"/>
      <c r="H56" s="2"/>
      <c r="I56" s="2"/>
      <c r="J56" s="33"/>
    </row>
    <row r="57" spans="1:10" ht="12.75">
      <c r="A57" s="46">
        <f>+H8</f>
        <v>80</v>
      </c>
      <c r="B57" s="5">
        <f>ROUND(C57*$B$9,0)</f>
        <v>39</v>
      </c>
      <c r="C57" s="58">
        <f>IF(A57&lt;10," distance ?",EXP(-0.0038*A57)*24.53)</f>
        <v>18.099727054033</v>
      </c>
      <c r="D57" s="2"/>
      <c r="E57" s="2"/>
      <c r="F57" s="2"/>
      <c r="G57" s="2"/>
      <c r="H57" s="2"/>
      <c r="I57" s="2"/>
      <c r="J57" s="33"/>
    </row>
    <row r="58" spans="1:10" ht="13.5" thickBot="1">
      <c r="A58" s="37"/>
      <c r="B58" s="38"/>
      <c r="C58" s="38"/>
      <c r="D58" s="38"/>
      <c r="E58" s="38"/>
      <c r="F58" s="38"/>
      <c r="G58" s="38"/>
      <c r="H58" s="38"/>
      <c r="I58" s="38"/>
      <c r="J58" s="39"/>
    </row>
    <row r="59" ht="13.5" thickBot="1"/>
    <row r="60" spans="1:10" ht="12.75">
      <c r="A60" s="69"/>
      <c r="B60" s="70"/>
      <c r="C60" s="70"/>
      <c r="D60" s="70"/>
      <c r="E60" s="70"/>
      <c r="F60" s="29"/>
      <c r="G60" s="29"/>
      <c r="H60" s="29"/>
      <c r="I60" s="29"/>
      <c r="J60" s="30"/>
    </row>
    <row r="61" spans="1:10" ht="12.75">
      <c r="A61" s="71"/>
      <c r="B61" s="72"/>
      <c r="C61" s="72"/>
      <c r="D61" s="72"/>
      <c r="E61" s="72"/>
      <c r="F61" s="2"/>
      <c r="G61" s="2"/>
      <c r="H61" s="2"/>
      <c r="I61" s="2"/>
      <c r="J61" s="33"/>
    </row>
    <row r="62" spans="1:10" ht="15">
      <c r="A62" s="271" t="s">
        <v>261</v>
      </c>
      <c r="B62" s="273"/>
      <c r="C62" s="274"/>
      <c r="D62" s="72"/>
      <c r="E62" s="72"/>
      <c r="F62" s="2"/>
      <c r="G62" s="2"/>
      <c r="H62" s="2"/>
      <c r="I62" s="2"/>
      <c r="J62" s="33"/>
    </row>
    <row r="63" spans="1:10" ht="12.75">
      <c r="A63" s="73" t="s">
        <v>15</v>
      </c>
      <c r="B63" s="74" t="s">
        <v>115</v>
      </c>
      <c r="C63" s="74" t="s">
        <v>116</v>
      </c>
      <c r="D63" s="72"/>
      <c r="E63" s="72"/>
      <c r="F63" s="2"/>
      <c r="G63" s="2"/>
      <c r="H63" s="2"/>
      <c r="I63" s="2"/>
      <c r="J63" s="33"/>
    </row>
    <row r="64" spans="1:10" ht="12.75">
      <c r="A64" s="272">
        <v>10</v>
      </c>
      <c r="B64" s="75">
        <f aca="true" t="shared" si="4" ref="B64:B71">ROUND(C64*$B$9,0)</f>
        <v>56</v>
      </c>
      <c r="C64" s="256">
        <v>26</v>
      </c>
      <c r="D64" s="72"/>
      <c r="E64" s="72"/>
      <c r="F64" s="2"/>
      <c r="G64" s="2"/>
      <c r="H64" s="2"/>
      <c r="I64" s="2"/>
      <c r="J64" s="33"/>
    </row>
    <row r="65" spans="1:10" ht="12.75">
      <c r="A65" s="272">
        <v>25</v>
      </c>
      <c r="B65" s="75">
        <f t="shared" si="4"/>
        <v>49</v>
      </c>
      <c r="C65" s="256">
        <v>23</v>
      </c>
      <c r="D65" s="72"/>
      <c r="E65" s="72"/>
      <c r="F65" s="2"/>
      <c r="G65" s="2"/>
      <c r="H65" s="2"/>
      <c r="I65" s="2"/>
      <c r="J65" s="33"/>
    </row>
    <row r="66" spans="1:10" ht="12.75">
      <c r="A66" s="272">
        <v>50</v>
      </c>
      <c r="B66" s="75">
        <f t="shared" si="4"/>
        <v>45</v>
      </c>
      <c r="C66" s="256">
        <v>21</v>
      </c>
      <c r="D66" s="72"/>
      <c r="E66" s="72"/>
      <c r="F66" s="2"/>
      <c r="G66" s="2"/>
      <c r="H66" s="2"/>
      <c r="I66" s="2"/>
      <c r="J66" s="33"/>
    </row>
    <row r="67" spans="1:10" ht="12.75">
      <c r="A67" s="272">
        <v>75</v>
      </c>
      <c r="B67" s="75">
        <f t="shared" si="4"/>
        <v>41</v>
      </c>
      <c r="C67" s="256">
        <v>19</v>
      </c>
      <c r="D67" s="72"/>
      <c r="E67" s="72"/>
      <c r="F67" s="2"/>
      <c r="G67" s="2"/>
      <c r="H67" s="2"/>
      <c r="I67" s="2"/>
      <c r="J67" s="33"/>
    </row>
    <row r="68" spans="1:10" ht="12.75">
      <c r="A68" s="272">
        <v>100</v>
      </c>
      <c r="B68" s="75">
        <f t="shared" si="4"/>
        <v>36</v>
      </c>
      <c r="C68" s="256">
        <v>17</v>
      </c>
      <c r="D68" s="72"/>
      <c r="E68" s="72"/>
      <c r="F68" s="2"/>
      <c r="G68" s="2"/>
      <c r="H68" s="2"/>
      <c r="I68" s="2"/>
      <c r="J68" s="33"/>
    </row>
    <row r="69" spans="1:10" ht="12.75">
      <c r="A69" s="272">
        <v>125</v>
      </c>
      <c r="B69" s="75">
        <f t="shared" si="4"/>
        <v>34</v>
      </c>
      <c r="C69" s="256">
        <v>16</v>
      </c>
      <c r="D69" s="72"/>
      <c r="E69" s="72"/>
      <c r="F69" s="2"/>
      <c r="G69" s="2"/>
      <c r="H69" s="2"/>
      <c r="I69" s="2"/>
      <c r="J69" s="33"/>
    </row>
    <row r="70" spans="1:10" ht="12.75">
      <c r="A70" s="272">
        <v>150</v>
      </c>
      <c r="B70" s="75">
        <f t="shared" si="4"/>
        <v>32</v>
      </c>
      <c r="C70" s="256">
        <v>15</v>
      </c>
      <c r="D70" s="72"/>
      <c r="E70" s="72"/>
      <c r="F70" s="2"/>
      <c r="G70" s="2"/>
      <c r="H70" s="2"/>
      <c r="I70" s="2"/>
      <c r="J70" s="33"/>
    </row>
    <row r="71" spans="1:10" ht="12.75">
      <c r="A71" s="272">
        <v>175</v>
      </c>
      <c r="B71" s="75">
        <f t="shared" si="4"/>
        <v>30</v>
      </c>
      <c r="C71" s="256">
        <v>14</v>
      </c>
      <c r="D71" s="72"/>
      <c r="E71" s="72"/>
      <c r="F71" s="2"/>
      <c r="G71" s="2"/>
      <c r="H71" s="2"/>
      <c r="I71" s="2"/>
      <c r="J71" s="33"/>
    </row>
    <row r="72" spans="1:10" ht="12.75">
      <c r="A72" s="36" t="s">
        <v>260</v>
      </c>
      <c r="B72" s="2"/>
      <c r="C72" s="2"/>
      <c r="D72" s="2"/>
      <c r="E72" s="2"/>
      <c r="F72" s="2"/>
      <c r="G72" s="2"/>
      <c r="H72" s="2"/>
      <c r="I72" s="2"/>
      <c r="J72" s="33"/>
    </row>
    <row r="73" spans="1:10" ht="12.75">
      <c r="A73" s="46">
        <f>+H9</f>
        <v>90</v>
      </c>
      <c r="B73" s="5">
        <f>ROUND(C73*$B$9,0)</f>
        <v>38</v>
      </c>
      <c r="C73" s="255">
        <f>IF(A73&lt;10," distance ?",24.493*EXP(-0.0036*A73))</f>
        <v>17.71456818660948</v>
      </c>
      <c r="D73" s="2"/>
      <c r="E73" s="2"/>
      <c r="F73" s="2"/>
      <c r="G73" s="2"/>
      <c r="H73" s="2"/>
      <c r="I73" s="2"/>
      <c r="J73" s="33"/>
    </row>
    <row r="74" spans="1:10" ht="12.75">
      <c r="A74" s="36"/>
      <c r="B74" s="2"/>
      <c r="C74" s="2"/>
      <c r="D74" s="2"/>
      <c r="E74" s="2"/>
      <c r="F74" s="2"/>
      <c r="G74" s="2"/>
      <c r="H74" s="2"/>
      <c r="I74" s="2"/>
      <c r="J74" s="33"/>
    </row>
    <row r="75" spans="1:10" ht="13.5" thickBot="1">
      <c r="A75" s="37"/>
      <c r="B75" s="38"/>
      <c r="C75" s="38"/>
      <c r="D75" s="38"/>
      <c r="E75" s="38"/>
      <c r="F75" s="38"/>
      <c r="G75" s="38"/>
      <c r="H75" s="38"/>
      <c r="I75" s="38"/>
      <c r="J75" s="39"/>
    </row>
  </sheetData>
  <mergeCells count="8">
    <mergeCell ref="A3:C4"/>
    <mergeCell ref="E3:F3"/>
    <mergeCell ref="E4:F4"/>
    <mergeCell ref="H4:K4"/>
    <mergeCell ref="F6:G6"/>
    <mergeCell ref="F7:G7"/>
    <mergeCell ref="F8:G8"/>
    <mergeCell ref="F9:G9"/>
  </mergeCells>
  <printOptions/>
  <pageMargins left="0.75" right="0.75" top="1" bottom="1" header="0.5" footer="0.5"/>
  <pageSetup cellComments="asDisplayed" fitToHeight="1" fitToWidth="1" horizontalDpi="600" verticalDpi="600" orientation="portrait" scale="56" r:id="rId4"/>
  <headerFooter alignWithMargins="0">
    <oddFooter>&amp;LFichier : &amp;F
Onglet : &amp;A
Page &amp;P de &amp;N&amp;CMine-laboratoire
Val-d'Or&amp;R&amp;D
&amp;T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35.57421875" style="0" customWidth="1"/>
    <col min="2" max="2" width="16.00390625" style="0" customWidth="1"/>
    <col min="3" max="3" width="10.28125" style="0" customWidth="1"/>
    <col min="4" max="4" width="5.7109375" style="0" customWidth="1"/>
    <col min="5" max="5" width="9.57421875" style="0" customWidth="1"/>
    <col min="6" max="6" width="13.57421875" style="0" customWidth="1"/>
    <col min="7" max="7" width="11.421875" style="0" customWidth="1"/>
    <col min="8" max="8" width="7.57421875" style="0" customWidth="1"/>
    <col min="9" max="16384" width="11.421875" style="0" customWidth="1"/>
  </cols>
  <sheetData>
    <row r="1" spans="1:7" ht="36.75">
      <c r="A1" s="12" t="s">
        <v>9</v>
      </c>
      <c r="G1" t="s">
        <v>339</v>
      </c>
    </row>
    <row r="3" spans="1:8" ht="18">
      <c r="A3" s="531" t="s">
        <v>8</v>
      </c>
      <c r="B3" s="532"/>
      <c r="G3" s="10" t="s">
        <v>245</v>
      </c>
      <c r="H3" s="254">
        <v>8</v>
      </c>
    </row>
    <row r="4" spans="2:5" ht="12.75">
      <c r="B4" s="536" t="s">
        <v>273</v>
      </c>
      <c r="C4" s="538" t="s">
        <v>272</v>
      </c>
      <c r="D4" s="539"/>
      <c r="E4" s="540"/>
    </row>
    <row r="5" spans="1:8" ht="15.75">
      <c r="A5" s="7" t="s">
        <v>0</v>
      </c>
      <c r="B5" s="537"/>
      <c r="C5" s="541"/>
      <c r="D5" s="542"/>
      <c r="E5" s="543"/>
      <c r="F5" s="10" t="s">
        <v>103</v>
      </c>
      <c r="G5" s="10" t="s">
        <v>1</v>
      </c>
      <c r="H5" s="10" t="s">
        <v>235</v>
      </c>
    </row>
    <row r="6" spans="1:8" ht="12.75">
      <c r="A6" s="3" t="s">
        <v>229</v>
      </c>
      <c r="B6" s="254">
        <v>450</v>
      </c>
      <c r="C6" s="544">
        <v>20</v>
      </c>
      <c r="D6" s="545"/>
      <c r="E6" s="546"/>
      <c r="F6" s="77">
        <f>IF(C6&gt;0,B6/C6,IF(D6&gt;0,B6/D6,IF(E6&gt;0,B6/E6,0)))</f>
        <v>22.5</v>
      </c>
      <c r="G6" s="254">
        <v>2</v>
      </c>
      <c r="H6" s="52">
        <f>+G6/$H$3*F6</f>
        <v>5.625</v>
      </c>
    </row>
    <row r="7" spans="1:8" ht="8.25" customHeight="1">
      <c r="A7" s="9"/>
      <c r="B7" s="19"/>
      <c r="F7" s="48"/>
      <c r="G7" s="19"/>
      <c r="H7" s="54"/>
    </row>
    <row r="8" spans="1:8" ht="12.75">
      <c r="A8" s="11"/>
      <c r="B8" s="6" t="s">
        <v>2</v>
      </c>
      <c r="C8" s="413" t="s">
        <v>106</v>
      </c>
      <c r="D8" s="413"/>
      <c r="E8" s="413"/>
      <c r="F8" s="48"/>
      <c r="G8" s="19"/>
      <c r="H8" s="54"/>
    </row>
    <row r="9" spans="1:8" ht="12.75">
      <c r="A9" s="4" t="s">
        <v>104</v>
      </c>
      <c r="B9" s="303">
        <v>110</v>
      </c>
      <c r="C9" s="535">
        <v>20</v>
      </c>
      <c r="D9" s="535"/>
      <c r="E9" s="535"/>
      <c r="F9" s="77">
        <f>IF(C9&gt;0,B9/C9,IF(D9&gt;0,B9/D9,IF(E9&gt;0,B9/E9,0)))</f>
        <v>5.5</v>
      </c>
      <c r="G9" s="254">
        <v>2</v>
      </c>
      <c r="H9" s="52">
        <f>+G9/$H$3*F9</f>
        <v>1.375</v>
      </c>
    </row>
    <row r="10" spans="2:8" ht="15.75" customHeight="1">
      <c r="B10" s="19"/>
      <c r="F10" s="48"/>
      <c r="G10" s="19"/>
      <c r="H10" s="54"/>
    </row>
    <row r="11" spans="2:8" ht="12.75">
      <c r="B11" s="6" t="s">
        <v>239</v>
      </c>
      <c r="C11" s="518" t="s">
        <v>105</v>
      </c>
      <c r="D11" s="519"/>
      <c r="E11" s="412"/>
      <c r="F11" s="48"/>
      <c r="G11" s="19"/>
      <c r="H11" s="54"/>
    </row>
    <row r="12" spans="1:8" ht="12.75">
      <c r="A12" s="4" t="s">
        <v>128</v>
      </c>
      <c r="B12" s="301">
        <f>38+18</f>
        <v>56</v>
      </c>
      <c r="C12" s="520">
        <v>4</v>
      </c>
      <c r="D12" s="520"/>
      <c r="E12" s="520"/>
      <c r="F12" s="77">
        <f>IF(C12&gt;0,B12/C12,IF(D12&gt;0,B12/D12,IF(E12&gt;0,B12/E12,0)))</f>
        <v>14</v>
      </c>
      <c r="G12" s="254">
        <v>2</v>
      </c>
      <c r="H12" s="52">
        <f>+G12/$H$3*F12</f>
        <v>3.5</v>
      </c>
    </row>
    <row r="13" spans="2:8" ht="8.25" customHeight="1">
      <c r="B13" s="19"/>
      <c r="F13" s="48"/>
      <c r="G13" s="19"/>
      <c r="H13" s="54"/>
    </row>
    <row r="14" spans="1:8" ht="12.75">
      <c r="A14" s="533" t="s">
        <v>230</v>
      </c>
      <c r="B14" s="6" t="s">
        <v>3</v>
      </c>
      <c r="C14" s="518" t="s">
        <v>105</v>
      </c>
      <c r="D14" s="519"/>
      <c r="E14" s="412"/>
      <c r="F14" s="48"/>
      <c r="G14" s="19"/>
      <c r="H14" s="54"/>
    </row>
    <row r="15" spans="1:8" ht="12.75">
      <c r="A15" s="534"/>
      <c r="B15" s="301">
        <v>38</v>
      </c>
      <c r="C15" s="520">
        <v>5</v>
      </c>
      <c r="D15" s="520"/>
      <c r="E15" s="520"/>
      <c r="F15" s="77">
        <f>IF(C15&gt;0,B15/C15,IF(D15&gt;0,B15/D15,IF(E15&gt;0,B15/E15,0)))</f>
        <v>7.6</v>
      </c>
      <c r="G15" s="254">
        <v>2</v>
      </c>
      <c r="H15" s="52">
        <f>+G15/$H$3*F15</f>
        <v>1.9</v>
      </c>
    </row>
    <row r="16" spans="2:8" ht="8.25" customHeight="1">
      <c r="B16" s="19"/>
      <c r="F16" s="48"/>
      <c r="G16" s="19"/>
      <c r="H16" s="54"/>
    </row>
    <row r="17" spans="2:8" ht="12.75">
      <c r="B17" s="6" t="s">
        <v>3</v>
      </c>
      <c r="C17" s="518" t="s">
        <v>105</v>
      </c>
      <c r="D17" s="519"/>
      <c r="E17" s="412"/>
      <c r="F17" s="48"/>
      <c r="G17" s="19"/>
      <c r="H17" s="54"/>
    </row>
    <row r="18" spans="1:8" ht="12.75">
      <c r="A18" s="4" t="s">
        <v>237</v>
      </c>
      <c r="B18" s="301">
        <f>18*3</f>
        <v>54</v>
      </c>
      <c r="C18" s="520">
        <v>4</v>
      </c>
      <c r="D18" s="520"/>
      <c r="E18" s="520"/>
      <c r="F18" s="77">
        <f>IF(C18&gt;0,B18/C18,IF(D18&gt;0,B18/D18,IF(E18&gt;0,B18/E18,0)))</f>
        <v>13.5</v>
      </c>
      <c r="G18" s="254">
        <v>2</v>
      </c>
      <c r="H18" s="52">
        <f>+G18/$H$3*F18</f>
        <v>3.375</v>
      </c>
    </row>
    <row r="19" spans="2:8" ht="7.5" customHeight="1">
      <c r="B19" s="19"/>
      <c r="F19" s="48"/>
      <c r="G19" s="19"/>
      <c r="H19" s="54"/>
    </row>
    <row r="20" spans="2:8" ht="12.75">
      <c r="B20" s="6" t="s">
        <v>2</v>
      </c>
      <c r="C20" s="413" t="s">
        <v>106</v>
      </c>
      <c r="D20" s="413"/>
      <c r="E20" s="413"/>
      <c r="F20" s="48"/>
      <c r="G20" s="19"/>
      <c r="H20" s="54"/>
    </row>
    <row r="21" spans="1:8" ht="12.75">
      <c r="A21" s="4" t="s">
        <v>231</v>
      </c>
      <c r="B21" s="301">
        <v>20</v>
      </c>
      <c r="C21" s="520">
        <v>30</v>
      </c>
      <c r="D21" s="520"/>
      <c r="E21" s="520"/>
      <c r="F21" s="77">
        <f>IF(C21&gt;0,B21/C21,IF(D21&gt;0,B21/D21,IF(E21&gt;0,B21/E21,0)))</f>
        <v>0.6666666666666666</v>
      </c>
      <c r="G21" s="254">
        <v>2</v>
      </c>
      <c r="H21" s="52">
        <f>+G21/$H$3*F21</f>
        <v>0.16666666666666666</v>
      </c>
    </row>
    <row r="22" spans="2:8" ht="7.5" customHeight="1">
      <c r="B22" s="19"/>
      <c r="F22" s="48"/>
      <c r="G22" s="19"/>
      <c r="H22" s="54"/>
    </row>
    <row r="23" spans="1:8" ht="12.75">
      <c r="A23" s="533" t="s">
        <v>232</v>
      </c>
      <c r="B23" s="6" t="s">
        <v>3</v>
      </c>
      <c r="C23" s="518" t="s">
        <v>105</v>
      </c>
      <c r="D23" s="519"/>
      <c r="E23" s="412"/>
      <c r="F23" s="48"/>
      <c r="G23" s="19"/>
      <c r="H23" s="54"/>
    </row>
    <row r="24" spans="1:8" ht="12.75">
      <c r="A24" s="534"/>
      <c r="B24" s="301">
        <v>6</v>
      </c>
      <c r="C24" s="520">
        <v>0.4</v>
      </c>
      <c r="D24" s="520"/>
      <c r="E24" s="520"/>
      <c r="F24" s="77">
        <f>IF(C24&gt;0,B24/C24,IF(D24&gt;0,B24/D24,IF(E24&gt;0,B24/E24,0)))</f>
        <v>15</v>
      </c>
      <c r="G24" s="254">
        <v>2</v>
      </c>
      <c r="H24" s="52">
        <f>+G24/$H$3*F24</f>
        <v>3.75</v>
      </c>
    </row>
    <row r="25" spans="1:8" ht="6.75" customHeight="1">
      <c r="A25" s="2"/>
      <c r="H25" s="54"/>
    </row>
    <row r="26" spans="1:8" ht="12.75" customHeight="1">
      <c r="A26" s="533" t="s">
        <v>233</v>
      </c>
      <c r="B26" s="6" t="s">
        <v>3</v>
      </c>
      <c r="C26" s="518" t="s">
        <v>105</v>
      </c>
      <c r="D26" s="519"/>
      <c r="E26" s="412"/>
      <c r="F26" s="48"/>
      <c r="G26" s="19"/>
      <c r="H26" s="54"/>
    </row>
    <row r="27" spans="1:8" ht="12.75">
      <c r="A27" s="534"/>
      <c r="B27" s="301">
        <v>6</v>
      </c>
      <c r="C27" s="520">
        <v>0.9</v>
      </c>
      <c r="D27" s="520"/>
      <c r="E27" s="520"/>
      <c r="F27" s="77">
        <f>IF(C27&gt;0,B27/C27,IF(D27&gt;0,B27/D27,IF(E27&gt;0,B27/E27,0)))</f>
        <v>6.666666666666666</v>
      </c>
      <c r="G27" s="254">
        <v>2</v>
      </c>
      <c r="H27" s="52">
        <f>+G27/$H$3*F27</f>
        <v>1.6666666666666665</v>
      </c>
    </row>
    <row r="28" spans="1:8" ht="6.75" customHeight="1">
      <c r="A28" s="2"/>
      <c r="H28" s="54"/>
    </row>
    <row r="29" ht="6.75" customHeight="1" thickBot="1">
      <c r="A29" s="2"/>
    </row>
    <row r="30" spans="1:8" ht="15.75" thickBot="1">
      <c r="A30" s="229" t="s">
        <v>117</v>
      </c>
      <c r="B30" s="230"/>
      <c r="C30" s="230"/>
      <c r="D30" s="230"/>
      <c r="E30" s="231"/>
      <c r="F30" s="232"/>
      <c r="G30" s="302">
        <v>2.45</v>
      </c>
      <c r="H30" t="s">
        <v>20</v>
      </c>
    </row>
    <row r="31" spans="1:8" ht="13.5" customHeight="1">
      <c r="A31" s="228" t="s">
        <v>285</v>
      </c>
      <c r="H31" s="54"/>
    </row>
    <row r="32" spans="1:8" ht="13.5" customHeight="1" thickBot="1">
      <c r="A32" s="228"/>
      <c r="H32" s="10" t="s">
        <v>235</v>
      </c>
    </row>
    <row r="33" spans="5:8" ht="15.75" thickBot="1">
      <c r="E33" s="78" t="s">
        <v>27</v>
      </c>
      <c r="G33" s="314" t="s">
        <v>68</v>
      </c>
      <c r="H33" s="238">
        <f>ROUNDUP(SUM(H5:H25)/(H3-G30)*H3,0)</f>
        <v>29</v>
      </c>
    </row>
    <row r="34" spans="5:8" ht="15.75" thickBot="1">
      <c r="E34" s="78" t="s">
        <v>28</v>
      </c>
      <c r="G34" s="315" t="s">
        <v>68</v>
      </c>
      <c r="H34" s="237">
        <f>ROUNDUP((SUM(H6:H15)+H21+H27)/(H3-G30)*H3,0)</f>
        <v>21</v>
      </c>
    </row>
    <row r="35" ht="12.75">
      <c r="D35" s="13"/>
    </row>
    <row r="37" spans="1:8" ht="18">
      <c r="A37" s="531" t="s">
        <v>234</v>
      </c>
      <c r="B37" s="532"/>
      <c r="G37" s="10" t="s">
        <v>21</v>
      </c>
      <c r="H37" s="312">
        <f>+H3</f>
        <v>8</v>
      </c>
    </row>
    <row r="39" spans="1:6" ht="15" customHeight="1">
      <c r="A39" s="7" t="s">
        <v>0</v>
      </c>
      <c r="B39" s="10" t="s">
        <v>103</v>
      </c>
      <c r="C39" s="8" t="s">
        <v>1</v>
      </c>
      <c r="D39" s="10" t="s">
        <v>235</v>
      </c>
      <c r="F39" s="504" t="s">
        <v>5</v>
      </c>
    </row>
    <row r="40" spans="1:8" ht="15" customHeight="1">
      <c r="A40" s="4" t="s">
        <v>118</v>
      </c>
      <c r="B40" s="313">
        <f>+G30</f>
        <v>2.45</v>
      </c>
      <c r="C40" s="254">
        <v>2</v>
      </c>
      <c r="D40" s="311">
        <f>+C40/$H$3*B40</f>
        <v>0.6125</v>
      </c>
      <c r="F40" s="505"/>
      <c r="G40" s="519" t="s">
        <v>241</v>
      </c>
      <c r="H40" s="412"/>
    </row>
    <row r="41" spans="1:8" ht="15" customHeight="1">
      <c r="A41" s="3" t="s">
        <v>301</v>
      </c>
      <c r="B41" s="313">
        <v>0.75</v>
      </c>
      <c r="C41" s="254">
        <v>2</v>
      </c>
      <c r="D41" s="311">
        <f>+C41/$H$3*B41</f>
        <v>0.1875</v>
      </c>
      <c r="F41" s="300">
        <v>400</v>
      </c>
      <c r="G41" s="528">
        <f>110/1.97</f>
        <v>55.83756345177665</v>
      </c>
      <c r="H41" s="529"/>
    </row>
    <row r="42" spans="1:4" ht="15" customHeight="1">
      <c r="A42" s="3" t="s">
        <v>243</v>
      </c>
      <c r="B42" s="313">
        <f>5/60</f>
        <v>0.08333333333333333</v>
      </c>
      <c r="C42" s="254">
        <v>2</v>
      </c>
      <c r="D42" s="311">
        <f>+C42/$H$3*B42</f>
        <v>0.020833333333333332</v>
      </c>
    </row>
    <row r="43" spans="1:4" ht="15" customHeight="1">
      <c r="A43" s="3" t="s">
        <v>240</v>
      </c>
      <c r="B43" s="311">
        <f>+F41/G41</f>
        <v>7.163636363636363</v>
      </c>
      <c r="C43" s="254">
        <v>2</v>
      </c>
      <c r="D43" s="311">
        <f>+C43/$H$3*B43</f>
        <v>1.7909090909090908</v>
      </c>
    </row>
    <row r="44" spans="1:4" ht="15" customHeight="1">
      <c r="A44" s="3" t="s">
        <v>107</v>
      </c>
      <c r="B44" s="313">
        <v>0.3</v>
      </c>
      <c r="C44" s="254">
        <v>2</v>
      </c>
      <c r="D44" s="311">
        <f>+C44/$H$3*B44</f>
        <v>0.075</v>
      </c>
    </row>
    <row r="45" ht="13.5" thickBot="1">
      <c r="D45" s="51"/>
    </row>
    <row r="46" spans="3:5" ht="13.5" thickBot="1">
      <c r="C46" s="314" t="s">
        <v>68</v>
      </c>
      <c r="D46" s="129">
        <f>SUM(D40:D45)</f>
        <v>2.6867424242424245</v>
      </c>
      <c r="E46" t="s">
        <v>88</v>
      </c>
    </row>
    <row r="49" spans="1:8" ht="18">
      <c r="A49" s="531" t="s">
        <v>7</v>
      </c>
      <c r="B49" s="532"/>
      <c r="G49" s="8" t="s">
        <v>21</v>
      </c>
      <c r="H49" s="312">
        <f>+H3</f>
        <v>8</v>
      </c>
    </row>
    <row r="52" ht="12.75" customHeight="1">
      <c r="F52" s="504" t="s">
        <v>5</v>
      </c>
    </row>
    <row r="53" spans="1:8" ht="18.75" customHeight="1">
      <c r="A53" s="7" t="s">
        <v>0</v>
      </c>
      <c r="B53" s="10" t="s">
        <v>103</v>
      </c>
      <c r="F53" s="505"/>
      <c r="G53" s="519" t="s">
        <v>241</v>
      </c>
      <c r="H53" s="412"/>
    </row>
    <row r="54" spans="1:8" ht="12.75" customHeight="1">
      <c r="A54" s="4" t="s">
        <v>118</v>
      </c>
      <c r="B54" s="311">
        <f>+G30</f>
        <v>2.45</v>
      </c>
      <c r="F54" s="254">
        <v>400</v>
      </c>
      <c r="G54" s="528">
        <f>110/1.97</f>
        <v>55.83756345177665</v>
      </c>
      <c r="H54" s="529"/>
    </row>
    <row r="55" spans="1:2" ht="12.75">
      <c r="A55" s="3" t="s">
        <v>301</v>
      </c>
      <c r="B55" s="311">
        <f>+B41</f>
        <v>0.75</v>
      </c>
    </row>
    <row r="56" spans="1:4" ht="12.75">
      <c r="A56" s="3" t="s">
        <v>243</v>
      </c>
      <c r="B56" s="311">
        <f>+B42</f>
        <v>0.08333333333333333</v>
      </c>
      <c r="D56" s="1" t="s">
        <v>6</v>
      </c>
    </row>
    <row r="57" spans="1:4" ht="12.75">
      <c r="A57" s="3" t="s">
        <v>236</v>
      </c>
      <c r="B57" s="311">
        <f>H49-(B58+B56+B55+B54)</f>
        <v>4.416666666666666</v>
      </c>
      <c r="D57" s="312">
        <f>+B57*G54</f>
        <v>246.61590524534685</v>
      </c>
    </row>
    <row r="58" spans="1:2" ht="12.75">
      <c r="A58" s="3" t="s">
        <v>107</v>
      </c>
      <c r="B58" s="311">
        <f>+B44</f>
        <v>0.3</v>
      </c>
    </row>
    <row r="59" spans="2:8" ht="13.5" thickBot="1">
      <c r="B59" s="19"/>
      <c r="C59" s="530" t="s">
        <v>1</v>
      </c>
      <c r="D59" s="530"/>
      <c r="H59" s="236" t="s">
        <v>235</v>
      </c>
    </row>
    <row r="60" spans="1:8" ht="16.5" thickBot="1">
      <c r="A60" s="7" t="s">
        <v>119</v>
      </c>
      <c r="B60" s="311">
        <f>+F54/D57</f>
        <v>1.6219554030874788</v>
      </c>
      <c r="C60" s="520">
        <v>2</v>
      </c>
      <c r="D60" s="520"/>
      <c r="G60" s="314" t="s">
        <v>68</v>
      </c>
      <c r="H60" s="129">
        <f>+B60*C60</f>
        <v>3.2439108061749575</v>
      </c>
    </row>
    <row r="62" ht="13.5" thickBot="1"/>
    <row r="63" spans="1:7" ht="18.75" thickBot="1">
      <c r="A63" s="521" t="s">
        <v>329</v>
      </c>
      <c r="B63" s="522"/>
      <c r="C63" s="522"/>
      <c r="D63" s="522"/>
      <c r="E63" s="522"/>
      <c r="F63" s="522"/>
      <c r="G63" s="523"/>
    </row>
    <row r="64" ht="13.5" thickBot="1"/>
    <row r="65" spans="2:4" ht="19.5" customHeight="1" thickBot="1">
      <c r="B65" s="524" t="s">
        <v>75</v>
      </c>
      <c r="C65" s="525"/>
      <c r="D65" s="526"/>
    </row>
    <row r="66" spans="1:4" ht="19.5" customHeight="1" thickBot="1">
      <c r="A66" s="239" t="s">
        <v>8</v>
      </c>
      <c r="B66" s="233" t="s">
        <v>238</v>
      </c>
      <c r="C66" s="527" t="s">
        <v>74</v>
      </c>
      <c r="D66" s="527"/>
    </row>
    <row r="67" spans="1:4" ht="19.5" customHeight="1">
      <c r="A67" s="234" t="s">
        <v>108</v>
      </c>
      <c r="B67" s="52">
        <f>+H33+D46</f>
        <v>31.686742424242425</v>
      </c>
      <c r="C67" s="357">
        <f>+H33+H60</f>
        <v>32.24391080617496</v>
      </c>
      <c r="D67" s="357"/>
    </row>
    <row r="68" spans="1:4" ht="19.5" customHeight="1">
      <c r="A68" s="235" t="s">
        <v>109</v>
      </c>
      <c r="B68" s="52">
        <f>+H34+D46</f>
        <v>23.686742424242425</v>
      </c>
      <c r="C68" s="357">
        <f>+H34+H60</f>
        <v>24.24391080617496</v>
      </c>
      <c r="D68" s="357"/>
    </row>
  </sheetData>
  <mergeCells count="36">
    <mergeCell ref="A3:B3"/>
    <mergeCell ref="B4:B5"/>
    <mergeCell ref="C4:E5"/>
    <mergeCell ref="C6:E6"/>
    <mergeCell ref="A14:A15"/>
    <mergeCell ref="C15:E15"/>
    <mergeCell ref="C8:E8"/>
    <mergeCell ref="C9:E9"/>
    <mergeCell ref="C12:E12"/>
    <mergeCell ref="A26:A27"/>
    <mergeCell ref="C27:E27"/>
    <mergeCell ref="A37:B37"/>
    <mergeCell ref="C18:E18"/>
    <mergeCell ref="C21:E21"/>
    <mergeCell ref="A23:A24"/>
    <mergeCell ref="C24:E24"/>
    <mergeCell ref="F39:F40"/>
    <mergeCell ref="G40:H40"/>
    <mergeCell ref="G41:H41"/>
    <mergeCell ref="A49:B49"/>
    <mergeCell ref="B65:D65"/>
    <mergeCell ref="C66:D66"/>
    <mergeCell ref="F52:F53"/>
    <mergeCell ref="G53:H53"/>
    <mergeCell ref="G54:H54"/>
    <mergeCell ref="C59:D59"/>
    <mergeCell ref="C67:D67"/>
    <mergeCell ref="C68:D68"/>
    <mergeCell ref="C11:E11"/>
    <mergeCell ref="C14:E14"/>
    <mergeCell ref="C17:E17"/>
    <mergeCell ref="C20:E20"/>
    <mergeCell ref="C23:E23"/>
    <mergeCell ref="C26:E26"/>
    <mergeCell ref="C60:D60"/>
    <mergeCell ref="A63:G63"/>
  </mergeCells>
  <printOptions/>
  <pageMargins left="0.75" right="0.75" top="1" bottom="1" header="0.5" footer="0.5"/>
  <pageSetup cellComments="asDisplayed" fitToHeight="1" fitToWidth="1" horizontalDpi="600" verticalDpi="600" orientation="portrait" scale="70" r:id="rId3"/>
  <headerFooter alignWithMargins="0">
    <oddFooter>&amp;LFichier : &amp;F
Onglet : &amp;A
Page &amp;P de &amp;N&amp;CMine-laboratoire
Val-d'Or&amp;R&amp;D
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34" sqref="H34"/>
    </sheetView>
  </sheetViews>
  <sheetFormatPr defaultColWidth="9.140625" defaultRowHeight="12.75"/>
  <cols>
    <col min="1" max="16384" width="11.421875" style="0" customWidth="1"/>
  </cols>
  <sheetData>
    <row r="1" spans="1:6" ht="12.75">
      <c r="A1" s="28"/>
      <c r="B1" s="29"/>
      <c r="C1" s="29"/>
      <c r="D1" s="29"/>
      <c r="E1" s="29"/>
      <c r="F1" s="30"/>
    </row>
    <row r="2" spans="1:6" ht="18">
      <c r="A2" s="294" t="s">
        <v>269</v>
      </c>
      <c r="B2" s="2"/>
      <c r="C2" s="2"/>
      <c r="D2" s="2"/>
      <c r="E2" s="2"/>
      <c r="F2" s="33"/>
    </row>
    <row r="3" spans="1:6" ht="12.75">
      <c r="A3" s="36"/>
      <c r="B3" s="2"/>
      <c r="C3" s="2"/>
      <c r="D3" s="2"/>
      <c r="E3" s="2"/>
      <c r="F3" s="33"/>
    </row>
    <row r="4" spans="1:6" ht="12.75">
      <c r="A4" s="36"/>
      <c r="B4" s="2"/>
      <c r="C4" s="2"/>
      <c r="D4" s="2"/>
      <c r="E4" s="2"/>
      <c r="F4" s="33"/>
    </row>
    <row r="5" spans="1:6" ht="12.75">
      <c r="A5" s="36"/>
      <c r="B5" s="2"/>
      <c r="C5" s="2"/>
      <c r="D5" s="2"/>
      <c r="E5" s="2"/>
      <c r="F5" s="33"/>
    </row>
    <row r="6" spans="1:6" ht="12.75">
      <c r="A6" s="36"/>
      <c r="B6" s="2"/>
      <c r="C6" s="2"/>
      <c r="D6" s="2"/>
      <c r="E6" s="2"/>
      <c r="F6" s="33"/>
    </row>
    <row r="7" spans="1:6" ht="12.75">
      <c r="A7" s="36"/>
      <c r="B7" s="2"/>
      <c r="C7" s="2"/>
      <c r="D7" s="2"/>
      <c r="E7" s="2"/>
      <c r="F7" s="33"/>
    </row>
    <row r="8" spans="1:6" ht="12.75">
      <c r="A8" s="36"/>
      <c r="B8" s="2"/>
      <c r="C8" s="2"/>
      <c r="D8" s="2"/>
      <c r="E8" s="2"/>
      <c r="F8" s="33"/>
    </row>
    <row r="9" spans="1:6" ht="12.75">
      <c r="A9" s="36"/>
      <c r="B9" s="2"/>
      <c r="C9" s="2"/>
      <c r="D9" s="2"/>
      <c r="E9" s="2"/>
      <c r="F9" s="33"/>
    </row>
    <row r="10" spans="1:6" ht="12.75">
      <c r="A10" s="36"/>
      <c r="B10" s="2"/>
      <c r="C10" s="2"/>
      <c r="D10" s="2"/>
      <c r="E10" s="2"/>
      <c r="F10" s="33"/>
    </row>
    <row r="11" spans="1:6" ht="12.75">
      <c r="A11" s="36"/>
      <c r="B11" s="2"/>
      <c r="C11" s="2"/>
      <c r="D11" s="2"/>
      <c r="E11" s="2"/>
      <c r="F11" s="33"/>
    </row>
    <row r="12" spans="1:6" ht="13.5" thickBot="1">
      <c r="A12" s="36"/>
      <c r="B12" s="2"/>
      <c r="C12" s="2"/>
      <c r="D12" s="2"/>
      <c r="E12" s="2"/>
      <c r="F12" s="33"/>
    </row>
    <row r="13" spans="1:6" ht="12.75">
      <c r="A13" s="28"/>
      <c r="B13" s="29"/>
      <c r="C13" s="29"/>
      <c r="D13" s="29"/>
      <c r="E13" s="29"/>
      <c r="F13" s="30"/>
    </row>
    <row r="14" spans="1:6" ht="18">
      <c r="A14" s="294" t="s">
        <v>270</v>
      </c>
      <c r="B14" s="2"/>
      <c r="C14" s="2"/>
      <c r="D14" s="2"/>
      <c r="E14" s="2"/>
      <c r="F14" s="33"/>
    </row>
    <row r="15" spans="1:6" ht="12.75">
      <c r="A15" s="36"/>
      <c r="B15" s="2"/>
      <c r="C15" s="2"/>
      <c r="D15" s="2"/>
      <c r="E15" s="2"/>
      <c r="F15" s="33"/>
    </row>
    <row r="16" spans="1:6" ht="12.75">
      <c r="A16" s="36"/>
      <c r="B16" s="2"/>
      <c r="C16" s="2"/>
      <c r="D16" s="2"/>
      <c r="E16" s="2"/>
      <c r="F16" s="33"/>
    </row>
    <row r="17" spans="1:6" ht="12.75">
      <c r="A17" s="36"/>
      <c r="B17" s="2"/>
      <c r="C17" s="2"/>
      <c r="D17" s="2"/>
      <c r="E17" s="2"/>
      <c r="F17" s="33"/>
    </row>
    <row r="18" spans="1:6" ht="12.75">
      <c r="A18" s="36"/>
      <c r="B18" s="2"/>
      <c r="C18" s="2"/>
      <c r="D18" s="2"/>
      <c r="E18" s="2"/>
      <c r="F18" s="33"/>
    </row>
    <row r="19" spans="1:6" ht="12.75">
      <c r="A19" s="36"/>
      <c r="B19" s="2"/>
      <c r="C19" s="2"/>
      <c r="D19" s="2"/>
      <c r="E19" s="2"/>
      <c r="F19" s="33"/>
    </row>
    <row r="20" spans="1:6" ht="12.75">
      <c r="A20" s="36"/>
      <c r="B20" s="2"/>
      <c r="C20" s="2"/>
      <c r="D20" s="2"/>
      <c r="E20" s="2"/>
      <c r="F20" s="33"/>
    </row>
    <row r="21" spans="1:6" ht="12.75">
      <c r="A21" s="36"/>
      <c r="B21" s="2"/>
      <c r="C21" s="2"/>
      <c r="D21" s="2"/>
      <c r="E21" s="2"/>
      <c r="F21" s="33"/>
    </row>
    <row r="22" spans="1:6" ht="12.75">
      <c r="A22" s="36"/>
      <c r="B22" s="2"/>
      <c r="C22" s="2"/>
      <c r="D22" s="2"/>
      <c r="E22" s="2"/>
      <c r="F22" s="33"/>
    </row>
    <row r="23" spans="1:6" ht="12.75">
      <c r="A23" s="36"/>
      <c r="B23" s="2"/>
      <c r="C23" s="2"/>
      <c r="D23" s="2"/>
      <c r="E23" s="2"/>
      <c r="F23" s="33"/>
    </row>
    <row r="24" spans="1:6" ht="13.5" thickBot="1">
      <c r="A24" s="37"/>
      <c r="B24" s="38"/>
      <c r="C24" s="38"/>
      <c r="D24" s="38"/>
      <c r="E24" s="38"/>
      <c r="F24" s="39"/>
    </row>
    <row r="25" spans="1:6" ht="12.75">
      <c r="A25" s="28"/>
      <c r="B25" s="29"/>
      <c r="C25" s="29"/>
      <c r="D25" s="29"/>
      <c r="E25" s="29"/>
      <c r="F25" s="30"/>
    </row>
    <row r="26" spans="1:6" ht="18">
      <c r="A26" s="294" t="s">
        <v>271</v>
      </c>
      <c r="C26" s="2"/>
      <c r="D26" s="2"/>
      <c r="E26" s="2"/>
      <c r="F26" s="33"/>
    </row>
    <row r="27" spans="1:6" ht="12.75">
      <c r="A27" s="36"/>
      <c r="B27" s="2"/>
      <c r="C27" s="2"/>
      <c r="D27" s="2"/>
      <c r="E27" s="2"/>
      <c r="F27" s="33"/>
    </row>
    <row r="28" spans="1:6" ht="12.75">
      <c r="A28" s="36"/>
      <c r="B28" s="2"/>
      <c r="C28" s="2"/>
      <c r="D28" s="2"/>
      <c r="E28" s="2"/>
      <c r="F28" s="33"/>
    </row>
    <row r="29" spans="1:6" ht="12.75">
      <c r="A29" s="36"/>
      <c r="B29" s="2"/>
      <c r="C29" s="2"/>
      <c r="D29" s="2"/>
      <c r="E29" s="2"/>
      <c r="F29" s="33"/>
    </row>
    <row r="30" spans="1:6" ht="12.75">
      <c r="A30" s="36"/>
      <c r="B30" s="2"/>
      <c r="C30" s="2"/>
      <c r="D30" s="2"/>
      <c r="E30" s="2"/>
      <c r="F30" s="33"/>
    </row>
    <row r="31" spans="1:6" ht="12.75">
      <c r="A31" s="36"/>
      <c r="B31" s="2"/>
      <c r="C31" s="2"/>
      <c r="D31" s="2"/>
      <c r="E31" s="2"/>
      <c r="F31" s="33"/>
    </row>
    <row r="32" spans="1:6" ht="12.75">
      <c r="A32" s="36"/>
      <c r="B32" s="2"/>
      <c r="C32" s="2"/>
      <c r="D32" s="2"/>
      <c r="E32" s="2"/>
      <c r="F32" s="33"/>
    </row>
    <row r="33" spans="1:6" ht="12.75">
      <c r="A33" s="36"/>
      <c r="B33" s="2"/>
      <c r="C33" s="2"/>
      <c r="D33" s="2"/>
      <c r="E33" s="2"/>
      <c r="F33" s="33"/>
    </row>
    <row r="34" spans="1:6" ht="12.75">
      <c r="A34" s="36"/>
      <c r="B34" s="2"/>
      <c r="C34" s="2"/>
      <c r="D34" s="2"/>
      <c r="E34" s="2"/>
      <c r="F34" s="33"/>
    </row>
    <row r="35" spans="1:6" ht="12.75">
      <c r="A35" s="36"/>
      <c r="B35" s="2"/>
      <c r="C35" s="2"/>
      <c r="D35" s="2"/>
      <c r="E35" s="2"/>
      <c r="F35" s="33"/>
    </row>
    <row r="36" spans="1:6" ht="12.75">
      <c r="A36" s="36"/>
      <c r="B36" s="2"/>
      <c r="C36" s="2"/>
      <c r="D36" s="2"/>
      <c r="E36" s="2"/>
      <c r="F36" s="33"/>
    </row>
    <row r="37" spans="1:6" ht="13.5" thickBot="1">
      <c r="A37" s="37"/>
      <c r="B37" s="38"/>
      <c r="C37" s="38"/>
      <c r="D37" s="38"/>
      <c r="E37" s="38"/>
      <c r="F37" s="39"/>
    </row>
  </sheetData>
  <printOptions/>
  <pageMargins left="0.75" right="0.75" top="1" bottom="1" header="0.4921259845" footer="0.4921259845"/>
  <pageSetup horizontalDpi="600" verticalDpi="600" orientation="portrait" scale="120" r:id="rId2"/>
  <headerFooter alignWithMargins="0">
    <oddFooter>&amp;L&amp;8&amp;XFichier : &amp;F
Onglet : &amp;A&amp;C&amp;8
&amp;XMine-laboratoire
 Val-d'Or&amp;R&amp;8&amp;X&amp;D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2004-04-13T13:24:00Z</cp:lastPrinted>
  <dcterms:created xsi:type="dcterms:W3CDTF">2000-05-03T18:12:35Z</dcterms:created>
  <dcterms:modified xsi:type="dcterms:W3CDTF">2004-05-12T17:19:23Z</dcterms:modified>
  <cp:category/>
  <cp:version/>
  <cp:contentType/>
  <cp:contentStatus/>
</cp:coreProperties>
</file>