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580" windowHeight="3120" activeTab="0"/>
  </bookViews>
  <sheets>
    <sheet name="Trous_vert" sheetId="1" r:id="rId1"/>
    <sheet name="Trous_hor" sheetId="2" r:id="rId2"/>
    <sheet name="Dessins" sheetId="3" r:id="rId3"/>
  </sheets>
  <definedNames>
    <definedName name="_xlnm.Print_Area" localSheetId="1">'Trous_hor'!$A$5:$N$217</definedName>
    <definedName name="_xlnm.Print_Area" localSheetId="0">'Trous_vert'!$A$5:$K$170</definedName>
    <definedName name="_xlnm.Print_Titles" localSheetId="1">'Trous_hor'!$1:$4</definedName>
    <definedName name="_xlnm.Print_Titles" localSheetId="0">'Trous_vert'!$1:$4</definedName>
  </definedNames>
  <calcPr fullCalcOnLoad="1"/>
</workbook>
</file>

<file path=xl/comments1.xml><?xml version="1.0" encoding="utf-8"?>
<comments xmlns="http://schemas.openxmlformats.org/spreadsheetml/2006/main">
  <authors>
    <author>rolacroi</author>
  </authors>
  <commentList>
    <comment ref="F76" authorId="0">
      <text>
        <r>
          <rPr>
            <sz val="11"/>
            <rFont val="Tahoma"/>
            <family val="2"/>
          </rPr>
          <t xml:space="preserve">Longueur à miner sans les volées d'ouverture et sans la monterie principale
</t>
        </r>
      </text>
    </comment>
    <comment ref="B84" authorId="0">
      <text>
        <r>
          <rPr>
            <b/>
            <sz val="11"/>
            <rFont val="Tahoma"/>
            <family val="2"/>
          </rPr>
          <t>Temps requis pour écailler un mètre (le toit et les deux épontes) et nettoyer les fonds de trous</t>
        </r>
        <r>
          <rPr>
            <sz val="11"/>
            <rFont val="Tahoma"/>
            <family val="2"/>
          </rPr>
          <t xml:space="preserve">
</t>
        </r>
      </text>
    </comment>
    <comment ref="H52" authorId="0">
      <text>
        <r>
          <rPr>
            <b/>
            <sz val="11"/>
            <rFont val="Tahoma"/>
            <family val="2"/>
          </rPr>
          <t>Inscrire le temps requis pour égaliser le minerai cassé pour toute la coupe lorsque fait en une seule étape (doit inclure les délais causés par le déblayage)</t>
        </r>
        <r>
          <rPr>
            <sz val="11"/>
            <rFont val="Tahoma"/>
            <family val="2"/>
          </rPr>
          <t xml:space="preserve">
</t>
        </r>
      </text>
    </comment>
    <comment ref="E84" authorId="0">
      <text>
        <r>
          <rPr>
            <b/>
            <sz val="11"/>
            <rFont val="Tahoma"/>
            <family val="2"/>
          </rPr>
          <t>Temps requis pour écailler un mètre (le toit et les deux épontes) et nettoyer les fonds de trous</t>
        </r>
        <r>
          <rPr>
            <sz val="11"/>
            <rFont val="Tahoma"/>
            <family val="2"/>
          </rPr>
          <t xml:space="preserve">
</t>
        </r>
      </text>
    </comment>
    <comment ref="J108" authorId="0">
      <text>
        <r>
          <rPr>
            <b/>
            <sz val="11"/>
            <rFont val="Tahoma"/>
            <family val="2"/>
          </rPr>
          <t>Distance entre les rangées</t>
        </r>
      </text>
    </comment>
  </commentList>
</comments>
</file>

<file path=xl/comments2.xml><?xml version="1.0" encoding="utf-8"?>
<comments xmlns="http://schemas.openxmlformats.org/spreadsheetml/2006/main">
  <authors>
    <author>rolacroi</author>
  </authors>
  <commentList>
    <comment ref="F88" authorId="0">
      <text>
        <r>
          <rPr>
            <b/>
            <sz val="10"/>
            <rFont val="Tahoma"/>
            <family val="2"/>
          </rPr>
          <t xml:space="preserve">Longueur à miner sans la monterie principale et sans les volées d'ouverture </t>
        </r>
      </text>
    </comment>
    <comment ref="K53" authorId="0">
      <text>
        <r>
          <rPr>
            <b/>
            <sz val="11"/>
            <rFont val="Tahoma"/>
            <family val="2"/>
          </rPr>
          <t>Inscrire le temps requis pour égaliser le minerai cassé pour toute la coupe  lorsque fait en une seule étape (doit inclure les délais causés par le déblayage)</t>
        </r>
        <r>
          <rPr>
            <sz val="11"/>
            <rFont val="Tahoma"/>
            <family val="2"/>
          </rPr>
          <t xml:space="preserve">
</t>
        </r>
      </text>
    </comment>
    <comment ref="B101" authorId="0">
      <text>
        <r>
          <rPr>
            <b/>
            <sz val="11"/>
            <rFont val="Tahoma"/>
            <family val="2"/>
          </rPr>
          <t>Temps requis pour écailler un mètre (le toit et les deux épontes) et nettoyer les fonds de trous</t>
        </r>
        <r>
          <rPr>
            <sz val="11"/>
            <rFont val="Tahoma"/>
            <family val="2"/>
          </rPr>
          <t xml:space="preserve">
</t>
        </r>
      </text>
    </comment>
    <comment ref="K36" authorId="0">
      <text>
        <r>
          <rPr>
            <b/>
            <sz val="11"/>
            <rFont val="Tahoma"/>
            <family val="2"/>
          </rPr>
          <t>Inscrire le temps requis pour égaliser le minerai pour chaque front de taille (doit inclure les délais causés par le déblayage)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<sst xmlns="http://schemas.openxmlformats.org/spreadsheetml/2006/main" count="552" uniqueCount="274">
  <si>
    <t>Lunch</t>
  </si>
  <si>
    <t>heures/quart</t>
  </si>
  <si>
    <t>tonnes</t>
  </si>
  <si>
    <t>mètres</t>
  </si>
  <si>
    <t>heures</t>
  </si>
  <si>
    <t>Sautage</t>
  </si>
  <si>
    <t>FORAGE</t>
  </si>
  <si>
    <t>SAUTAGE</t>
  </si>
  <si>
    <t>ÉCAILLAGE</t>
  </si>
  <si>
    <t>SUPPORT</t>
  </si>
  <si>
    <t>VENTILATION</t>
  </si>
  <si>
    <t>AUTRES</t>
  </si>
  <si>
    <t xml:space="preserve">Ventilation </t>
  </si>
  <si>
    <t>densité du minerai (t/m³)</t>
  </si>
  <si>
    <t>Nbre de rangées</t>
  </si>
  <si>
    <t xml:space="preserve">Voici les étapes que l'on retrouve le plus souvent </t>
  </si>
  <si>
    <t>voir support</t>
  </si>
  <si>
    <t xml:space="preserve">AUTRES ACTIVITÉS </t>
  </si>
  <si>
    <t>DE TERRAIN</t>
  </si>
  <si>
    <t>heures-hommes</t>
  </si>
  <si>
    <t>total</t>
  </si>
  <si>
    <t>RELIÉES AU FORAGE</t>
  </si>
  <si>
    <t>RELIÉES AU SUPPORT</t>
  </si>
  <si>
    <t>NOTES</t>
  </si>
  <si>
    <t>minutes</t>
  </si>
  <si>
    <t>tonnes par trou</t>
  </si>
  <si>
    <t>total :</t>
  </si>
  <si>
    <t>minutes requises</t>
  </si>
  <si>
    <t>Paramètres du</t>
  </si>
  <si>
    <t>Paramètres de</t>
  </si>
  <si>
    <t>4.2 - Écaillage</t>
  </si>
  <si>
    <t>4.3 - Support de terrain</t>
  </si>
  <si>
    <t>PARAMÈTRES DU FORAGE</t>
  </si>
  <si>
    <t>PARAMÈTRES DE SAUTAGE</t>
  </si>
  <si>
    <t>DÉBLAYAGE</t>
  </si>
  <si>
    <t xml:space="preserve"> +</t>
  </si>
  <si>
    <t xml:space="preserve"> =</t>
  </si>
  <si>
    <t xml:space="preserve"> &lt;=&gt;</t>
  </si>
  <si>
    <t>-</t>
  </si>
  <si>
    <t xml:space="preserve"> /</t>
  </si>
  <si>
    <t>=</t>
  </si>
  <si>
    <t xml:space="preserve"> x</t>
  </si>
  <si>
    <t>avec une performance de</t>
  </si>
  <si>
    <t>avance/quart</t>
  </si>
  <si>
    <t>+</t>
  </si>
  <si>
    <t xml:space="preserve">avec des imprévus de </t>
  </si>
  <si>
    <t xml:space="preserve">avec un performance de </t>
  </si>
  <si>
    <t>PRODUCTIF</t>
  </si>
  <si>
    <t>IMPRÉVUS</t>
  </si>
  <si>
    <t>DANS LE CHANTIER</t>
  </si>
  <si>
    <t xml:space="preserve">FIXES </t>
  </si>
  <si>
    <t>HORS CHANTIER</t>
  </si>
  <si>
    <t>PRODUCTIVITÉ</t>
  </si>
  <si>
    <t>TOTAL</t>
  </si>
  <si>
    <t>heures totales (coupe)</t>
  </si>
  <si>
    <t>6.0 - RÉSUMÉ POUR  LA COUPE</t>
  </si>
  <si>
    <t>Paramètres des</t>
  </si>
  <si>
    <t xml:space="preserve">heures totales </t>
  </si>
  <si>
    <t>Paramètres de la</t>
  </si>
  <si>
    <t>CHAMBRE-MAGASIN</t>
  </si>
  <si>
    <t>1.0 - ACTIVITÉS DIRECTES FIXES PAR QUART (hors chantier)</t>
  </si>
  <si>
    <t>Cage (début et fin de quart)</t>
  </si>
  <si>
    <t>Aller-retour au chantier</t>
  </si>
  <si>
    <t>Supervision</t>
  </si>
  <si>
    <t>Planification du travail</t>
  </si>
  <si>
    <t>Autres - vérification des accès</t>
  </si>
  <si>
    <t>Temps total (min)</t>
  </si>
  <si>
    <t>heures/installation</t>
  </si>
  <si>
    <t>Raccorder le sautage</t>
  </si>
  <si>
    <t>Vérification des accès</t>
  </si>
  <si>
    <t>Préparer matériel</t>
  </si>
  <si>
    <t>heures/sautage</t>
  </si>
  <si>
    <t>Préparatifs à la construction</t>
  </si>
  <si>
    <t>Égaliser minerai avec racloir</t>
  </si>
  <si>
    <t>heures totales</t>
  </si>
  <si>
    <t xml:space="preserve">SEULEMENT LES ACTIVITÉS DIRECTES VARIABLES SONT INFLUENCÉES PAR LE NOMBRE D'HOMMES. </t>
  </si>
  <si>
    <t>QUARTS-HOMMES REQUIS</t>
  </si>
  <si>
    <t>quarts-hommes</t>
  </si>
  <si>
    <t>q-h d'imprévus</t>
  </si>
  <si>
    <t>quarts-hommes requis dans le chantier</t>
  </si>
  <si>
    <t>QUARTS-HOMMES</t>
  </si>
  <si>
    <t>Ranger le matériel</t>
  </si>
  <si>
    <t>Explosifs requis (kg)</t>
  </si>
  <si>
    <t>tonnes/mètre foré</t>
  </si>
  <si>
    <t>Nombre possible d'avances par quart</t>
  </si>
  <si>
    <t>Imprévus</t>
  </si>
  <si>
    <t>Quarts-hommes requis</t>
  </si>
  <si>
    <t>Q-H requis avec imprévus</t>
  </si>
  <si>
    <t># d'avances</t>
  </si>
  <si>
    <t>NOMBRE D'HOMMES REQUIS</t>
  </si>
  <si>
    <t>NOMBRE D'HEURES PAR QUART</t>
  </si>
  <si>
    <t>COUPE - TROUS HORIZONTAUX</t>
  </si>
  <si>
    <t>COUPE - TROUS VERTICAUX</t>
  </si>
  <si>
    <t>Fréquence ou unités</t>
  </si>
  <si>
    <t>Déplacements (puits - refuge - puits)</t>
  </si>
  <si>
    <t>Autres délais de déplacements</t>
  </si>
  <si>
    <t>Remplir les rapports journaliers</t>
  </si>
  <si>
    <t>2.0 - ACTIVITÉS DIRECTES FIXES PAR ÉTAPE (dans le chantier)</t>
  </si>
  <si>
    <t>Temps                 (min)/unité</t>
  </si>
  <si>
    <t>Géologues</t>
  </si>
  <si>
    <t>Arpenteurs</t>
  </si>
  <si>
    <t>Mécaniciens et électriciens</t>
  </si>
  <si>
    <t>minutes/installation</t>
  </si>
  <si>
    <t>minutes/sautage</t>
  </si>
  <si>
    <t>Apporter les explosifs</t>
  </si>
  <si>
    <t>Apporter et préparer le matériel</t>
  </si>
  <si>
    <t>Ranger équipement et explosifs</t>
  </si>
  <si>
    <t xml:space="preserve">Enlever la plate-forme </t>
  </si>
  <si>
    <t>Réparer et installer ventilation</t>
  </si>
  <si>
    <t>Construire les passages d'hommes</t>
  </si>
  <si>
    <t>PAR COUPE</t>
  </si>
  <si>
    <t xml:space="preserve">Écaillage extra </t>
  </si>
  <si>
    <t>Apporter équipement et matériel</t>
  </si>
  <si>
    <t>Installer la plate-forme</t>
  </si>
  <si>
    <t>Ranger équipement et matériel</t>
  </si>
  <si>
    <t>3.0 - ACTIVITÉS DIRECTES FIXES PAR COUPE (dans le chantier)</t>
  </si>
  <si>
    <t>(voir étapes 4 et 5 dans le dessin)</t>
  </si>
  <si>
    <t>heures (passages d'hommes)</t>
  </si>
  <si>
    <t>dans les chantiers de Chambre-Magasin :</t>
  </si>
  <si>
    <t xml:space="preserve">Les deux volées d'ouverture aux extrémités du chantier sont optionnelles. Si vous </t>
  </si>
  <si>
    <t xml:space="preserve">préférez utiliser la monterie principale comme ouverture, simplement inscrire "0" </t>
  </si>
  <si>
    <t>volées d'ouverture".</t>
  </si>
  <si>
    <t>dans la case "Nombre de volées par coupe" dans la section "Paramètres des</t>
  </si>
  <si>
    <t>4.0 - ACTIVITÉS DIRECTES VARIABLES PAR ÉTAPE (dans le chantier)</t>
  </si>
  <si>
    <t>4.1 - Dimensions de la coupe</t>
  </si>
  <si>
    <t>4.4 - Forage</t>
  </si>
  <si>
    <t>5.0 - RÉSUMÉ POUR LA COUPE</t>
  </si>
  <si>
    <t>TABLEAU DU NOMBRE D'HEURES REQUISES PAR COUPE</t>
  </si>
  <si>
    <t>ACTIVITÉS DIRECTES PAR COUPE</t>
  </si>
  <si>
    <t>(dans le chantier)</t>
  </si>
  <si>
    <t>DIRECTES FIXES             (heures)</t>
  </si>
  <si>
    <t>DIRECTES VARIABLES   (heures)</t>
  </si>
  <si>
    <t>DIRECTES VARIABLES   (heures) *</t>
  </si>
  <si>
    <t>DONC, SELON LE NOMBRE D'HOMMES ENTRÉ, ON OBTIENT :</t>
  </si>
  <si>
    <t>Nombre de volées/coupe</t>
  </si>
  <si>
    <t>Longueur forée/volée</t>
  </si>
  <si>
    <t>Longueur cassée/volée</t>
  </si>
  <si>
    <t>Tonnes totales en volées</t>
  </si>
  <si>
    <t>Longueur</t>
  </si>
  <si>
    <t>Largeur moyenne</t>
  </si>
  <si>
    <t>Hauteur</t>
  </si>
  <si>
    <t>Tonnes</t>
  </si>
  <si>
    <t>Laver, écailler et nettoyer le fond des trous</t>
  </si>
  <si>
    <t xml:space="preserve">Forage pour le support  </t>
  </si>
  <si>
    <t>Installation du support</t>
  </si>
  <si>
    <t>(grillage inclus)</t>
  </si>
  <si>
    <t>temps d'installation     /boulon (min)</t>
  </si>
  <si>
    <t>m longitudinal</t>
  </si>
  <si>
    <t>minutes/</t>
  </si>
  <si>
    <t>heures totales  (coupe)</t>
  </si>
  <si>
    <t>PARAMÈTRES DU SUPPORT DE TERRAIN</t>
  </si>
  <si>
    <t>Longueur           forée par boulon</t>
  </si>
  <si>
    <t>Nombre de     boulons/1,2 m d'avance</t>
  </si>
  <si>
    <t>Mètres forés      /mètre d'avance</t>
  </si>
  <si>
    <t>Patron du toit</t>
  </si>
  <si>
    <t>Patron de l'éponte supérieure</t>
  </si>
  <si>
    <t>Patron de l'éponte inférieure</t>
  </si>
  <si>
    <t>Mètres à forer</t>
  </si>
  <si>
    <t>Temps requis de forage (heures)</t>
  </si>
  <si>
    <t>trous forés/volée</t>
  </si>
  <si>
    <t>nombre de trous</t>
  </si>
  <si>
    <t>Temps requis pour le repositionnement, changement de tiges et de trépans, etc. par trou de 2,4 m (min)</t>
  </si>
  <si>
    <t>Taux moyen de forage</t>
  </si>
  <si>
    <t>Longueur           forée (m)</t>
  </si>
  <si>
    <t>Longueur cassée (m)</t>
  </si>
  <si>
    <t>Diamètre des trous  (mm)</t>
  </si>
  <si>
    <t>Densité de l'explosif (g/cc)</t>
  </si>
  <si>
    <t>Kg d'explosifs/mètre</t>
  </si>
  <si>
    <r>
      <t>Facteur poudre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(kg/tonne)</t>
    </r>
  </si>
  <si>
    <t xml:space="preserve">Nettoyer et charger les trous </t>
  </si>
  <si>
    <t>temps moyen                /trou (min)</t>
  </si>
  <si>
    <t>trous/sautage</t>
  </si>
  <si>
    <t>nbre sautages</t>
  </si>
  <si>
    <t xml:space="preserve">longueur (m)              /sautage </t>
  </si>
  <si>
    <t>4.6 - Ventilation</t>
  </si>
  <si>
    <t>(À utiliser lorsque les sautages occasionnent un délai durant le quart ou lorsque votre opération fonctionne 24 heures sur 24)</t>
  </si>
  <si>
    <t>(évacuation des gaz)</t>
  </si>
  <si>
    <t>Nombre total de sautages (volées + coupe)</t>
  </si>
  <si>
    <t>/sautage</t>
  </si>
  <si>
    <t>Heures horaire</t>
  </si>
  <si>
    <t>HEURES REQUISES - HOMMES</t>
  </si>
  <si>
    <t>quarts-hommes requis d'activités directes fixes (hors chantier)</t>
  </si>
  <si>
    <t xml:space="preserve">total des quarts-hommes requis </t>
  </si>
  <si>
    <t>tonnes/q-h</t>
  </si>
  <si>
    <t>RELIÉES AUX</t>
  </si>
  <si>
    <t>PASSAGES D'HOMMES</t>
  </si>
  <si>
    <t>AUTRES ACTIVITÉS</t>
  </si>
  <si>
    <t>RELIÉES AU SAUTAGE</t>
  </si>
  <si>
    <t>TABLEAU DU NOMBRE D'HEURES REQUISES PAR FRONT DE TAILLE</t>
  </si>
  <si>
    <t>5.0 - RÉSUMÉ PAR FRONT DE TAILLE</t>
  </si>
  <si>
    <t>5.1 - CALCUL DU NOMBRE POSSIBLE D'AVANCES PAR QUART SELON LES DONNÉES ENTRÉES :</t>
  </si>
  <si>
    <t>PASSAGES</t>
  </si>
  <si>
    <t>D'HOMMES</t>
  </si>
  <si>
    <t>Réparer l'accès principal</t>
  </si>
  <si>
    <t xml:space="preserve"> /sautage</t>
  </si>
  <si>
    <t>Longueur forée</t>
  </si>
  <si>
    <t>Longueur cassée</t>
  </si>
  <si>
    <t>Largeur</t>
  </si>
  <si>
    <t>front de taille</t>
  </si>
  <si>
    <t>la coupe</t>
  </si>
  <si>
    <t>volées d'ouverture</t>
  </si>
  <si>
    <t>Forage pour le support</t>
  </si>
  <si>
    <t>Nombre de trous/front de taille</t>
  </si>
  <si>
    <t>Diamètre des trous (mm)</t>
  </si>
  <si>
    <t>Nombre de sautages (coupe)</t>
  </si>
  <si>
    <t>temps moyen/           trou (min)</t>
  </si>
  <si>
    <t xml:space="preserve">ACTIVITÉS DIRECTES </t>
  </si>
  <si>
    <t>PAR AVANCE</t>
  </si>
  <si>
    <t>coupe</t>
  </si>
  <si>
    <t>taux d'imprévus (ventilation incluse)</t>
  </si>
  <si>
    <t>temps alloué pour les imprévus</t>
  </si>
  <si>
    <t>temps total requis dans le chantier (incluant les imprévus)</t>
  </si>
  <si>
    <t>temps total des activités directes fixes hors chantier</t>
  </si>
  <si>
    <t xml:space="preserve">À l'aide de cette section, vous pouvez optimiser vos paramètres pour simuler votre opération ou déterminer les paramètres </t>
  </si>
  <si>
    <t>requis pour obtenir la performance désirée.</t>
  </si>
  <si>
    <t>Nombre d'heures par quart</t>
  </si>
  <si>
    <t>Selon votre meilleure estimation, vous pouvez faire</t>
  </si>
  <si>
    <t>ce qui représente un taux d'occupation du quart (incluant les imprévus) de</t>
  </si>
  <si>
    <t>Heures requises - hommes</t>
  </si>
  <si>
    <t>Heures/quart</t>
  </si>
  <si>
    <t>Nombre total de quarts requis</t>
  </si>
  <si>
    <t>Hommes</t>
  </si>
  <si>
    <t>Q-H requis</t>
  </si>
  <si>
    <t>Calcul du nombre de quarts selon l'horaire</t>
  </si>
  <si>
    <t>Heures disponibles dans le chantier</t>
  </si>
  <si>
    <t xml:space="preserve">Nombre de quarts requis (horaire) </t>
  </si>
  <si>
    <t>Calcul du nombre de quarts d'activités directes fixes</t>
  </si>
  <si>
    <t>Heures directes fixes/quart</t>
  </si>
  <si>
    <t>MONTERIE À L'EXTÉRIEUR DU CHANTIER</t>
  </si>
  <si>
    <t>ÉGALISER LE MINERAI CASSÉ UNE FOIS PAR</t>
  </si>
  <si>
    <t>COUPE</t>
  </si>
  <si>
    <t>QUATRE COUPES SONT INCLUSES DANS LES</t>
  </si>
  <si>
    <t>CALCULS</t>
  </si>
  <si>
    <t>4.5 - Chargement et Sautage</t>
  </si>
  <si>
    <t>TOTAL (CHANTIER)</t>
  </si>
  <si>
    <t>Tonnes/avance</t>
  </si>
  <si>
    <t>temps d'installation/  boulon (min)</t>
  </si>
  <si>
    <t>Longueur forée par boulon</t>
  </si>
  <si>
    <t>Nombre de boulons/1,2 m d'avance</t>
  </si>
  <si>
    <t>Mètres forés/mètre d'avance</t>
  </si>
  <si>
    <t>Temps requis pour forer un trou de 1,2 m (min)</t>
  </si>
  <si>
    <t>Temps total moyen pour forer un trou de 2,4 m (min)</t>
  </si>
  <si>
    <t>(mètres forés par heure/homme/foreuse)</t>
  </si>
  <si>
    <t>PATRON DE FORAGE (trous horizontaux)</t>
  </si>
  <si>
    <t>PATRON DE FORAGE (trous verticaux)</t>
  </si>
  <si>
    <r>
      <t xml:space="preserve">Facteur poudre              par front de taille  </t>
    </r>
    <r>
      <rPr>
        <sz val="11"/>
        <rFont val="Arial"/>
        <family val="2"/>
      </rPr>
      <t xml:space="preserve">           </t>
    </r>
    <r>
      <rPr>
        <sz val="12"/>
        <rFont val="Arial"/>
        <family val="2"/>
      </rPr>
      <t xml:space="preserve">      </t>
    </r>
    <r>
      <rPr>
        <sz val="10"/>
        <rFont val="Arial"/>
        <family val="2"/>
      </rPr>
      <t>(kg/tonne)</t>
    </r>
  </si>
  <si>
    <t>Délai de déblayage avant le sautage</t>
  </si>
  <si>
    <t>trous/volée</t>
  </si>
  <si>
    <t>forés</t>
  </si>
  <si>
    <t>dynamités</t>
  </si>
  <si>
    <t xml:space="preserve">  * Le nombre d'heures requises est corrigé en fonction du nombre d'hommes entré dans la section 5.0.</t>
  </si>
  <si>
    <t>Largeur moy (m)</t>
  </si>
  <si>
    <t>tonnes/m foré</t>
  </si>
  <si>
    <t>Apporter le matériel</t>
  </si>
  <si>
    <t>Temps direct fixe hors chantier/quart</t>
  </si>
  <si>
    <t>Temps disponible dans le chantier/quart</t>
  </si>
  <si>
    <t>(voir étapes 2 et 4 dans le dessin)</t>
  </si>
  <si>
    <t xml:space="preserve">Voici les étapes que l'on retrouve le plus souvent dans les chantiers </t>
  </si>
  <si>
    <t>de Chambre-Magasin avec la monterie hors chantier :</t>
  </si>
  <si>
    <t>Largeur moy</t>
  </si>
  <si>
    <t>Nombre de quarts d'activités</t>
  </si>
  <si>
    <t>directes fixes (horaire)</t>
  </si>
  <si>
    <t>Calcul des quarts-hommes (Q-H) requis avec imprévus</t>
  </si>
  <si>
    <t>Calcul du nombre total des quarts-hommes requis</t>
  </si>
  <si>
    <t>taux d'occupation du chantier par avance</t>
  </si>
  <si>
    <t>taux d'occupation du quart par avance</t>
  </si>
  <si>
    <t>temps total requis par avance</t>
  </si>
  <si>
    <t>Version : 29 mars 2004</t>
  </si>
  <si>
    <t>Calcul du nombre de volée d'ouverture par quart</t>
  </si>
  <si>
    <t>Nombre de volées par quart</t>
  </si>
  <si>
    <t>Fardeau (m)</t>
  </si>
  <si>
    <t>Nbre de trous par rangée</t>
  </si>
  <si>
    <t>temps requis/volée (heures)</t>
  </si>
  <si>
    <t>Version : 7 mai 2004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</si>
</sst>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000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?_);_(@_)"/>
  </numFmts>
  <fonts count="30">
    <font>
      <sz val="10"/>
      <name val="Arial"/>
      <family val="0"/>
    </font>
    <font>
      <b/>
      <sz val="10"/>
      <color indexed="10"/>
      <name val="Arial"/>
      <family val="2"/>
    </font>
    <font>
      <i/>
      <u val="single"/>
      <sz val="2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b/>
      <u val="single"/>
      <sz val="16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b/>
      <sz val="12"/>
      <color indexed="10"/>
      <name val="Arial"/>
      <family val="2"/>
    </font>
    <font>
      <u val="single"/>
      <sz val="16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 quotePrefix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 indent="4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2" fontId="0" fillId="2" borderId="1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9" fillId="2" borderId="1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2" fontId="9" fillId="2" borderId="0" xfId="0" applyNumberFormat="1" applyFont="1" applyFill="1" applyBorder="1" applyAlignment="1">
      <alignment/>
    </xf>
    <xf numFmtId="0" fontId="9" fillId="0" borderId="0" xfId="0" applyFont="1" applyAlignment="1">
      <alignment horizontal="left" indent="4"/>
    </xf>
    <xf numFmtId="164" fontId="9" fillId="2" borderId="0" xfId="0" applyNumberFormat="1" applyFont="1" applyFill="1" applyAlignment="1">
      <alignment/>
    </xf>
    <xf numFmtId="0" fontId="10" fillId="0" borderId="0" xfId="0" applyFont="1" applyBorder="1" applyAlignment="1">
      <alignment horizontal="left" indent="1"/>
    </xf>
    <xf numFmtId="0" fontId="10" fillId="0" borderId="0" xfId="0" applyFont="1" applyAlignment="1">
      <alignment horizontal="left" inden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 indent="2"/>
    </xf>
    <xf numFmtId="0" fontId="9" fillId="0" borderId="0" xfId="0" applyFont="1" applyAlignment="1">
      <alignment horizontal="right"/>
    </xf>
    <xf numFmtId="0" fontId="0" fillId="0" borderId="6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7" xfId="0" applyBorder="1" applyAlignment="1">
      <alignment/>
    </xf>
    <xf numFmtId="2" fontId="0" fillId="0" borderId="0" xfId="0" applyNumberFormat="1" applyAlignment="1">
      <alignment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0" xfId="0" applyFont="1" applyAlignment="1">
      <alignment/>
    </xf>
    <xf numFmtId="164" fontId="4" fillId="2" borderId="18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4" xfId="0" applyFont="1" applyBorder="1" applyAlignment="1">
      <alignment/>
    </xf>
    <xf numFmtId="1" fontId="9" fillId="2" borderId="18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0" fontId="0" fillId="0" borderId="3" xfId="0" applyBorder="1" applyAlignment="1">
      <alignment horizontal="left" indent="2"/>
    </xf>
    <xf numFmtId="0" fontId="0" fillId="0" borderId="17" xfId="0" applyBorder="1" applyAlignment="1">
      <alignment/>
    </xf>
    <xf numFmtId="0" fontId="0" fillId="0" borderId="4" xfId="0" applyBorder="1" applyAlignment="1">
      <alignment/>
    </xf>
    <xf numFmtId="0" fontId="19" fillId="0" borderId="0" xfId="0" applyFont="1" applyAlignment="1">
      <alignment horizontal="left" indent="1"/>
    </xf>
    <xf numFmtId="0" fontId="4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16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left" indent="5"/>
    </xf>
    <xf numFmtId="0" fontId="9" fillId="0" borderId="15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0" fillId="3" borderId="25" xfId="0" applyFill="1" applyBorder="1" applyAlignment="1">
      <alignment/>
    </xf>
    <xf numFmtId="2" fontId="0" fillId="2" borderId="26" xfId="0" applyNumberFormat="1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2" borderId="23" xfId="0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9" xfId="0" applyBorder="1" applyAlignment="1">
      <alignment/>
    </xf>
    <xf numFmtId="164" fontId="0" fillId="0" borderId="7" xfId="0" applyNumberForma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3" borderId="30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0" fillId="0" borderId="22" xfId="0" applyBorder="1" applyAlignment="1">
      <alignment/>
    </xf>
    <xf numFmtId="0" fontId="6" fillId="0" borderId="0" xfId="0" applyFont="1" applyAlignment="1">
      <alignment horizontal="center"/>
    </xf>
    <xf numFmtId="0" fontId="14" fillId="0" borderId="6" xfId="0" applyFont="1" applyBorder="1" applyAlignment="1">
      <alignment/>
    </xf>
    <xf numFmtId="0" fontId="0" fillId="0" borderId="6" xfId="0" applyBorder="1" applyAlignment="1">
      <alignment horizontal="left" indent="2"/>
    </xf>
    <xf numFmtId="0" fontId="14" fillId="0" borderId="6" xfId="0" applyFont="1" applyBorder="1" applyAlignment="1">
      <alignment horizontal="right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78" fontId="0" fillId="2" borderId="1" xfId="15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25" fillId="0" borderId="0" xfId="0" applyFont="1" applyAlignment="1">
      <alignment/>
    </xf>
    <xf numFmtId="2" fontId="0" fillId="2" borderId="1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9" fontId="3" fillId="0" borderId="1" xfId="19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4" fillId="2" borderId="36" xfId="0" applyNumberFormat="1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9" fontId="0" fillId="0" borderId="32" xfId="19" applyBorder="1" applyAlignment="1">
      <alignment horizontal="center"/>
    </xf>
    <xf numFmtId="9" fontId="0" fillId="0" borderId="17" xfId="19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 horizontal="left" indent="2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0" fillId="0" borderId="39" xfId="0" applyBorder="1" applyAlignment="1">
      <alignment horizontal="left" indent="4"/>
    </xf>
    <xf numFmtId="0" fontId="4" fillId="0" borderId="0" xfId="0" applyFont="1" applyBorder="1" applyAlignment="1">
      <alignment horizontal="left" indent="1"/>
    </xf>
    <xf numFmtId="0" fontId="26" fillId="0" borderId="0" xfId="0" applyFont="1" applyAlignment="1">
      <alignment/>
    </xf>
    <xf numFmtId="2" fontId="13" fillId="2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>
      <alignment/>
    </xf>
    <xf numFmtId="0" fontId="13" fillId="5" borderId="1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/>
    </xf>
    <xf numFmtId="2" fontId="9" fillId="2" borderId="0" xfId="0" applyNumberFormat="1" applyFont="1" applyFill="1" applyAlignment="1">
      <alignment/>
    </xf>
    <xf numFmtId="0" fontId="0" fillId="3" borderId="8" xfId="0" applyFill="1" applyBorder="1" applyAlignment="1">
      <alignment horizontal="center"/>
    </xf>
    <xf numFmtId="0" fontId="0" fillId="0" borderId="40" xfId="0" applyBorder="1" applyAlignment="1">
      <alignment/>
    </xf>
    <xf numFmtId="2" fontId="13" fillId="5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0" fillId="6" borderId="41" xfId="0" applyFill="1" applyBorder="1" applyAlignment="1">
      <alignment horizontal="center"/>
    </xf>
    <xf numFmtId="0" fontId="0" fillId="0" borderId="0" xfId="0" applyBorder="1" applyAlignment="1">
      <alignment horizontal="left" indent="4"/>
    </xf>
    <xf numFmtId="0" fontId="0" fillId="0" borderId="42" xfId="0" applyBorder="1" applyAlignment="1">
      <alignment/>
    </xf>
    <xf numFmtId="0" fontId="9" fillId="0" borderId="3" xfId="0" applyFont="1" applyBorder="1" applyAlignment="1">
      <alignment horizontal="right"/>
    </xf>
    <xf numFmtId="0" fontId="13" fillId="0" borderId="0" xfId="0" applyFont="1" applyAlignment="1">
      <alignment/>
    </xf>
    <xf numFmtId="0" fontId="9" fillId="0" borderId="3" xfId="0" applyFont="1" applyBorder="1" applyAlignment="1">
      <alignment horizontal="left" indent="4"/>
    </xf>
    <xf numFmtId="0" fontId="0" fillId="2" borderId="43" xfId="0" applyFill="1" applyBorder="1" applyAlignment="1">
      <alignment/>
    </xf>
    <xf numFmtId="0" fontId="0" fillId="2" borderId="44" xfId="0" applyFill="1" applyBorder="1" applyAlignment="1">
      <alignment/>
    </xf>
    <xf numFmtId="0" fontId="0" fillId="0" borderId="24" xfId="0" applyBorder="1" applyAlignment="1">
      <alignment/>
    </xf>
    <xf numFmtId="0" fontId="6" fillId="0" borderId="24" xfId="0" applyFont="1" applyBorder="1" applyAlignment="1">
      <alignment horizontal="center"/>
    </xf>
    <xf numFmtId="0" fontId="13" fillId="0" borderId="0" xfId="0" applyFont="1" applyBorder="1" applyAlignment="1">
      <alignment/>
    </xf>
    <xf numFmtId="2" fontId="3" fillId="2" borderId="1" xfId="0" applyNumberFormat="1" applyFont="1" applyFill="1" applyBorder="1" applyAlignment="1">
      <alignment/>
    </xf>
    <xf numFmtId="0" fontId="0" fillId="6" borderId="41" xfId="0" applyFill="1" applyBorder="1" applyAlignment="1">
      <alignment/>
    </xf>
    <xf numFmtId="164" fontId="13" fillId="2" borderId="35" xfId="0" applyNumberFormat="1" applyFont="1" applyFill="1" applyBorder="1" applyAlignment="1">
      <alignment horizontal="center"/>
    </xf>
    <xf numFmtId="164" fontId="13" fillId="2" borderId="36" xfId="0" applyNumberFormat="1" applyFont="1" applyFill="1" applyBorder="1" applyAlignment="1">
      <alignment horizontal="center"/>
    </xf>
    <xf numFmtId="164" fontId="13" fillId="2" borderId="37" xfId="0" applyNumberFormat="1" applyFont="1" applyFill="1" applyBorder="1" applyAlignment="1">
      <alignment horizontal="center"/>
    </xf>
    <xf numFmtId="164" fontId="13" fillId="2" borderId="38" xfId="0" applyNumberFormat="1" applyFont="1" applyFill="1" applyBorder="1" applyAlignment="1">
      <alignment horizontal="center"/>
    </xf>
    <xf numFmtId="164" fontId="13" fillId="2" borderId="18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0" xfId="0" applyAlignment="1">
      <alignment horizontal="left"/>
    </xf>
    <xf numFmtId="2" fontId="13" fillId="2" borderId="1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7" borderId="1" xfId="0" applyFont="1" applyFill="1" applyBorder="1" applyAlignment="1" applyProtection="1">
      <alignment/>
      <protection locked="0"/>
    </xf>
    <xf numFmtId="0" fontId="9" fillId="7" borderId="0" xfId="0" applyFont="1" applyFill="1" applyAlignment="1">
      <alignment horizontal="left" indent="2"/>
    </xf>
    <xf numFmtId="0" fontId="9" fillId="7" borderId="1" xfId="0" applyFont="1" applyFill="1" applyBorder="1" applyAlignment="1">
      <alignment/>
    </xf>
    <xf numFmtId="0" fontId="9" fillId="7" borderId="0" xfId="0" applyFont="1" applyFill="1" applyBorder="1" applyAlignment="1">
      <alignment horizontal="left" indent="2"/>
    </xf>
    <xf numFmtId="0" fontId="9" fillId="7" borderId="0" xfId="0" applyFont="1" applyFill="1" applyBorder="1" applyAlignment="1">
      <alignment/>
    </xf>
    <xf numFmtId="0" fontId="9" fillId="7" borderId="2" xfId="0" applyFont="1" applyFill="1" applyBorder="1" applyAlignment="1">
      <alignment/>
    </xf>
    <xf numFmtId="2" fontId="0" fillId="7" borderId="10" xfId="0" applyNumberForma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3" fillId="7" borderId="45" xfId="0" applyNumberFormat="1" applyFont="1" applyFill="1" applyBorder="1" applyAlignment="1">
      <alignment horizontal="center"/>
    </xf>
    <xf numFmtId="0" fontId="9" fillId="7" borderId="15" xfId="0" applyFont="1" applyFill="1" applyBorder="1" applyAlignment="1">
      <alignment/>
    </xf>
    <xf numFmtId="0" fontId="9" fillId="7" borderId="32" xfId="0" applyFont="1" applyFill="1" applyBorder="1" applyAlignment="1">
      <alignment/>
    </xf>
    <xf numFmtId="0" fontId="20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4" fillId="7" borderId="8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 applyAlignment="1">
      <alignment/>
    </xf>
    <xf numFmtId="0" fontId="4" fillId="7" borderId="17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/>
    </xf>
    <xf numFmtId="1" fontId="0" fillId="7" borderId="8" xfId="0" applyNumberFormat="1" applyFill="1" applyBorder="1" applyAlignment="1">
      <alignment horizontal="center"/>
    </xf>
    <xf numFmtId="164" fontId="0" fillId="7" borderId="17" xfId="0" applyNumberFormat="1" applyFill="1" applyBorder="1" applyAlignment="1">
      <alignment horizontal="center"/>
    </xf>
    <xf numFmtId="0" fontId="13" fillId="7" borderId="1" xfId="0" applyFont="1" applyFill="1" applyBorder="1" applyAlignment="1">
      <alignment/>
    </xf>
    <xf numFmtId="0" fontId="0" fillId="0" borderId="46" xfId="0" applyBorder="1" applyAlignment="1">
      <alignment/>
    </xf>
    <xf numFmtId="0" fontId="0" fillId="7" borderId="15" xfId="0" applyFill="1" applyBorder="1" applyAlignment="1">
      <alignment horizontal="center"/>
    </xf>
    <xf numFmtId="0" fontId="0" fillId="0" borderId="47" xfId="0" applyBorder="1" applyAlignment="1">
      <alignment/>
    </xf>
    <xf numFmtId="164" fontId="0" fillId="2" borderId="8" xfId="0" applyNumberForma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3" borderId="48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1" fontId="13" fillId="2" borderId="0" xfId="0" applyNumberFormat="1" applyFont="1" applyFill="1" applyAlignment="1">
      <alignment/>
    </xf>
    <xf numFmtId="165" fontId="3" fillId="7" borderId="1" xfId="19" applyNumberFormat="1" applyFont="1" applyFill="1" applyBorder="1" applyAlignment="1">
      <alignment/>
    </xf>
    <xf numFmtId="164" fontId="14" fillId="2" borderId="5" xfId="0" applyNumberFormat="1" applyFont="1" applyFill="1" applyBorder="1" applyAlignment="1">
      <alignment/>
    </xf>
    <xf numFmtId="164" fontId="14" fillId="2" borderId="49" xfId="0" applyNumberFormat="1" applyFont="1" applyFill="1" applyBorder="1" applyAlignment="1">
      <alignment/>
    </xf>
    <xf numFmtId="165" fontId="3" fillId="2" borderId="1" xfId="19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Alignment="1">
      <alignment horizontal="right"/>
    </xf>
    <xf numFmtId="165" fontId="4" fillId="2" borderId="1" xfId="0" applyNumberFormat="1" applyFont="1" applyFill="1" applyBorder="1" applyAlignment="1">
      <alignment/>
    </xf>
    <xf numFmtId="1" fontId="6" fillId="7" borderId="23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/>
    </xf>
    <xf numFmtId="0" fontId="9" fillId="0" borderId="0" xfId="0" applyFont="1" applyAlignment="1">
      <alignment horizontal="left" indent="1"/>
    </xf>
    <xf numFmtId="0" fontId="9" fillId="2" borderId="26" xfId="0" applyFont="1" applyFill="1" applyBorder="1" applyAlignment="1">
      <alignment horizontal="center"/>
    </xf>
    <xf numFmtId="165" fontId="13" fillId="7" borderId="1" xfId="0" applyNumberFormat="1" applyFont="1" applyFill="1" applyBorder="1" applyAlignment="1">
      <alignment/>
    </xf>
    <xf numFmtId="0" fontId="9" fillId="7" borderId="17" xfId="0" applyFont="1" applyFill="1" applyBorder="1" applyAlignment="1">
      <alignment/>
    </xf>
    <xf numFmtId="0" fontId="0" fillId="7" borderId="0" xfId="0" applyFill="1" applyAlignment="1">
      <alignment/>
    </xf>
    <xf numFmtId="0" fontId="0" fillId="0" borderId="0" xfId="0" applyAlignment="1">
      <alignment horizontal="left" indent="2"/>
    </xf>
    <xf numFmtId="0" fontId="6" fillId="0" borderId="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9" fillId="7" borderId="0" xfId="0" applyFont="1" applyFill="1" applyAlignment="1">
      <alignment horizontal="left" indent="1"/>
    </xf>
    <xf numFmtId="0" fontId="0" fillId="0" borderId="0" xfId="0" applyBorder="1" applyAlignment="1">
      <alignment horizontal="left" indent="10"/>
    </xf>
    <xf numFmtId="0" fontId="3" fillId="0" borderId="0" xfId="0" applyFont="1" applyAlignment="1">
      <alignment horizontal="left" indent="1"/>
    </xf>
    <xf numFmtId="0" fontId="28" fillId="0" borderId="0" xfId="0" applyFont="1" applyAlignment="1">
      <alignment horizontal="left" indent="2"/>
    </xf>
    <xf numFmtId="0" fontId="2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indent="2"/>
    </xf>
    <xf numFmtId="0" fontId="9" fillId="7" borderId="0" xfId="0" applyFont="1" applyFill="1" applyBorder="1" applyAlignment="1" applyProtection="1">
      <alignment horizontal="left" indent="2"/>
      <protection locked="0"/>
    </xf>
    <xf numFmtId="0" fontId="0" fillId="7" borderId="10" xfId="0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/>
    </xf>
    <xf numFmtId="0" fontId="4" fillId="0" borderId="2" xfId="0" applyFont="1" applyBorder="1" applyAlignment="1">
      <alignment horizontal="left"/>
    </xf>
    <xf numFmtId="0" fontId="28" fillId="0" borderId="0" xfId="0" applyFont="1" applyFill="1" applyBorder="1" applyAlignment="1">
      <alignment horizontal="left" indent="1"/>
    </xf>
    <xf numFmtId="0" fontId="7" fillId="0" borderId="0" xfId="0" applyFont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6" fillId="2" borderId="1" xfId="0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left" indent="5"/>
    </xf>
    <xf numFmtId="0" fontId="0" fillId="0" borderId="39" xfId="0" applyBorder="1" applyAlignment="1">
      <alignment horizontal="center"/>
    </xf>
    <xf numFmtId="2" fontId="4" fillId="7" borderId="17" xfId="0" applyNumberFormat="1" applyFont="1" applyFill="1" applyBorder="1" applyAlignment="1">
      <alignment horizontal="center" vertical="center"/>
    </xf>
    <xf numFmtId="9" fontId="0" fillId="0" borderId="50" xfId="19" applyBorder="1" applyAlignment="1">
      <alignment horizontal="center"/>
    </xf>
    <xf numFmtId="164" fontId="0" fillId="7" borderId="15" xfId="0" applyNumberFormat="1" applyFill="1" applyBorder="1" applyAlignment="1">
      <alignment horizontal="center"/>
    </xf>
    <xf numFmtId="0" fontId="9" fillId="0" borderId="31" xfId="0" applyFont="1" applyBorder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5" fillId="0" borderId="0" xfId="0" applyFont="1" applyAlignment="1">
      <alignment horizontal="right"/>
    </xf>
    <xf numFmtId="2" fontId="0" fillId="2" borderId="1" xfId="0" applyNumberFormat="1" applyFill="1" applyBorder="1" applyAlignment="1" quotePrefix="1">
      <alignment/>
    </xf>
    <xf numFmtId="164" fontId="0" fillId="2" borderId="26" xfId="0" applyNumberForma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2" fontId="4" fillId="7" borderId="4" xfId="0" applyNumberFormat="1" applyFont="1" applyFill="1" applyBorder="1" applyAlignment="1">
      <alignment horizontal="center" vertical="center"/>
    </xf>
    <xf numFmtId="2" fontId="4" fillId="7" borderId="17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164" fontId="0" fillId="7" borderId="58" xfId="0" applyNumberFormat="1" applyFill="1" applyBorder="1" applyAlignment="1">
      <alignment horizontal="center"/>
    </xf>
    <xf numFmtId="164" fontId="0" fillId="7" borderId="59" xfId="0" applyNumberForma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 quotePrefix="1">
      <alignment horizontal="center" wrapText="1"/>
    </xf>
    <xf numFmtId="0" fontId="0" fillId="0" borderId="15" xfId="0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164" fontId="13" fillId="2" borderId="21" xfId="0" applyNumberFormat="1" applyFont="1" applyFill="1" applyBorder="1" applyAlignment="1">
      <alignment horizontal="center" vertical="center"/>
    </xf>
    <xf numFmtId="164" fontId="13" fillId="2" borderId="14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9" fillId="0" borderId="0" xfId="0" applyFont="1" applyAlignment="1">
      <alignment horizontal="left" indent="1"/>
    </xf>
    <xf numFmtId="0" fontId="9" fillId="0" borderId="39" xfId="0" applyFont="1" applyBorder="1" applyAlignment="1">
      <alignment horizontal="left" indent="1"/>
    </xf>
    <xf numFmtId="0" fontId="9" fillId="0" borderId="0" xfId="0" applyFont="1" applyFill="1" applyAlignment="1">
      <alignment horizontal="left" indent="1"/>
    </xf>
    <xf numFmtId="0" fontId="9" fillId="0" borderId="39" xfId="0" applyFont="1" applyFill="1" applyBorder="1" applyAlignment="1">
      <alignment horizontal="left" indent="1"/>
    </xf>
    <xf numFmtId="0" fontId="9" fillId="7" borderId="0" xfId="0" applyFont="1" applyFill="1" applyAlignment="1">
      <alignment horizontal="left" indent="2"/>
    </xf>
    <xf numFmtId="0" fontId="9" fillId="7" borderId="39" xfId="0" applyFont="1" applyFill="1" applyBorder="1" applyAlignment="1">
      <alignment horizontal="left" indent="2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3" fillId="3" borderId="66" xfId="0" applyFont="1" applyFill="1" applyBorder="1" applyAlignment="1">
      <alignment horizontal="center"/>
    </xf>
    <xf numFmtId="0" fontId="3" fillId="3" borderId="67" xfId="0" applyFont="1" applyFill="1" applyBorder="1" applyAlignment="1">
      <alignment horizontal="center"/>
    </xf>
    <xf numFmtId="0" fontId="3" fillId="3" borderId="68" xfId="0" applyFont="1" applyFill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7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/>
    </xf>
    <xf numFmtId="0" fontId="9" fillId="3" borderId="54" xfId="0" applyFont="1" applyFill="1" applyBorder="1" applyAlignment="1">
      <alignment horizontal="center"/>
    </xf>
    <xf numFmtId="0" fontId="6" fillId="3" borderId="56" xfId="0" applyFont="1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9" fillId="3" borderId="1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2" fontId="9" fillId="2" borderId="27" xfId="0" applyNumberFormat="1" applyFont="1" applyFill="1" applyBorder="1" applyAlignment="1">
      <alignment horizontal="center"/>
    </xf>
    <xf numFmtId="2" fontId="9" fillId="2" borderId="59" xfId="0" applyNumberFormat="1" applyFont="1" applyFill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9" fillId="3" borderId="25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4" fillId="3" borderId="48" xfId="0" applyFont="1" applyFill="1" applyBorder="1" applyAlignment="1">
      <alignment horizontal="left" indent="1"/>
    </xf>
    <xf numFmtId="0" fontId="4" fillId="3" borderId="30" xfId="0" applyFont="1" applyFill="1" applyBorder="1" applyAlignment="1">
      <alignment horizontal="left" indent="1"/>
    </xf>
    <xf numFmtId="0" fontId="16" fillId="3" borderId="32" xfId="0" applyFont="1" applyFill="1" applyBorder="1" applyAlignment="1">
      <alignment horizontal="left" indent="1"/>
    </xf>
    <xf numFmtId="0" fontId="4" fillId="3" borderId="28" xfId="0" applyFont="1" applyFill="1" applyBorder="1" applyAlignment="1">
      <alignment horizontal="left" indent="1"/>
    </xf>
    <xf numFmtId="0" fontId="13" fillId="6" borderId="40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9" fontId="0" fillId="0" borderId="50" xfId="19" applyBorder="1" applyAlignment="1">
      <alignment horizontal="center"/>
    </xf>
    <xf numFmtId="9" fontId="0" fillId="0" borderId="74" xfId="19" applyBorder="1" applyAlignment="1">
      <alignment horizontal="center"/>
    </xf>
    <xf numFmtId="0" fontId="0" fillId="6" borderId="75" xfId="0" applyFill="1" applyBorder="1" applyAlignment="1">
      <alignment horizontal="center"/>
    </xf>
    <xf numFmtId="0" fontId="0" fillId="6" borderId="67" xfId="0" applyFill="1" applyBorder="1" applyAlignment="1">
      <alignment horizontal="center"/>
    </xf>
    <xf numFmtId="0" fontId="0" fillId="6" borderId="76" xfId="0" applyFill="1" applyBorder="1" applyAlignment="1">
      <alignment horizontal="center"/>
    </xf>
    <xf numFmtId="0" fontId="4" fillId="6" borderId="77" xfId="0" applyFont="1" applyFill="1" applyBorder="1" applyAlignment="1">
      <alignment horizontal="center" vertical="center"/>
    </xf>
    <xf numFmtId="0" fontId="4" fillId="6" borderId="7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64" fontId="13" fillId="2" borderId="79" xfId="0" applyNumberFormat="1" applyFont="1" applyFill="1" applyBorder="1" applyAlignment="1">
      <alignment horizontal="center"/>
    </xf>
    <xf numFmtId="164" fontId="13" fillId="2" borderId="36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4" fillId="0" borderId="32" xfId="0" applyFont="1" applyBorder="1" applyAlignment="1">
      <alignment horizontal="left" indent="1"/>
    </xf>
    <xf numFmtId="0" fontId="4" fillId="0" borderId="28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6" fillId="0" borderId="8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9" fillId="0" borderId="0" xfId="0" applyFont="1" applyAlignment="1">
      <alignment horizontal="left" indent="2"/>
    </xf>
    <xf numFmtId="0" fontId="9" fillId="0" borderId="0" xfId="0" applyFont="1" applyBorder="1" applyAlignment="1">
      <alignment horizontal="left" indent="2"/>
    </xf>
    <xf numFmtId="0" fontId="13" fillId="3" borderId="1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13" fillId="3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39" xfId="0" applyBorder="1" applyAlignment="1">
      <alignment horizontal="left" indent="1"/>
    </xf>
    <xf numFmtId="0" fontId="3" fillId="3" borderId="54" xfId="0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3" fillId="3" borderId="56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9" fillId="3" borderId="56" xfId="0" applyFont="1" applyFill="1" applyBorder="1" applyAlignment="1">
      <alignment horizontal="center"/>
    </xf>
    <xf numFmtId="164" fontId="13" fillId="2" borderId="64" xfId="0" applyNumberFormat="1" applyFont="1" applyFill="1" applyBorder="1" applyAlignment="1">
      <alignment horizontal="center" vertical="center"/>
    </xf>
    <xf numFmtId="164" fontId="13" fillId="2" borderId="65" xfId="0" applyNumberFormat="1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left"/>
    </xf>
    <xf numFmtId="0" fontId="5" fillId="6" borderId="20" xfId="0" applyFont="1" applyFill="1" applyBorder="1" applyAlignment="1">
      <alignment horizontal="left"/>
    </xf>
    <xf numFmtId="0" fontId="5" fillId="6" borderId="21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5" fillId="6" borderId="14" xfId="0" applyFont="1" applyFill="1" applyBorder="1" applyAlignment="1">
      <alignment horizontal="left"/>
    </xf>
    <xf numFmtId="0" fontId="4" fillId="3" borderId="48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3" fillId="4" borderId="83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9" fillId="0" borderId="39" xfId="0" applyFont="1" applyBorder="1" applyAlignment="1">
      <alignment horizontal="left" indent="2"/>
    </xf>
    <xf numFmtId="164" fontId="0" fillId="2" borderId="13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0" fontId="4" fillId="0" borderId="52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6" fillId="3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28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indent="1"/>
    </xf>
    <xf numFmtId="0" fontId="3" fillId="3" borderId="15" xfId="0" applyFont="1" applyFill="1" applyBorder="1" applyAlignment="1">
      <alignment horizontal="left" indent="1"/>
    </xf>
    <xf numFmtId="2" fontId="3" fillId="2" borderId="48" xfId="0" applyNumberFormat="1" applyFont="1" applyFill="1" applyBorder="1" applyAlignment="1">
      <alignment horizontal="center"/>
    </xf>
    <xf numFmtId="2" fontId="3" fillId="2" borderId="53" xfId="0" applyNumberFormat="1" applyFont="1" applyFill="1" applyBorder="1" applyAlignment="1">
      <alignment horizontal="center"/>
    </xf>
    <xf numFmtId="2" fontId="3" fillId="2" borderId="30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84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8" borderId="48" xfId="0" applyFont="1" applyFill="1" applyBorder="1" applyAlignment="1">
      <alignment horizontal="center" wrapText="1"/>
    </xf>
    <xf numFmtId="0" fontId="3" fillId="8" borderId="53" xfId="0" applyFont="1" applyFill="1" applyBorder="1" applyAlignment="1">
      <alignment horizontal="center" wrapText="1"/>
    </xf>
    <xf numFmtId="0" fontId="3" fillId="8" borderId="30" xfId="0" applyFont="1" applyFill="1" applyBorder="1" applyAlignment="1">
      <alignment horizontal="center" wrapText="1"/>
    </xf>
    <xf numFmtId="0" fontId="3" fillId="8" borderId="32" xfId="0" applyFont="1" applyFill="1" applyBorder="1" applyAlignment="1">
      <alignment horizontal="center" wrapText="1"/>
    </xf>
    <xf numFmtId="0" fontId="3" fillId="8" borderId="6" xfId="0" applyFont="1" applyFill="1" applyBorder="1" applyAlignment="1">
      <alignment horizontal="center" wrapText="1"/>
    </xf>
    <xf numFmtId="0" fontId="3" fillId="8" borderId="28" xfId="0" applyFont="1" applyFill="1" applyBorder="1" applyAlignment="1">
      <alignment horizontal="center" wrapText="1"/>
    </xf>
    <xf numFmtId="164" fontId="4" fillId="2" borderId="79" xfId="0" applyNumberFormat="1" applyFont="1" applyFill="1" applyBorder="1" applyAlignment="1">
      <alignment horizontal="center"/>
    </xf>
    <xf numFmtId="164" fontId="4" fillId="2" borderId="36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0" fillId="7" borderId="27" xfId="0" applyFill="1" applyBorder="1" applyAlignment="1">
      <alignment horizontal="center"/>
    </xf>
    <xf numFmtId="0" fontId="0" fillId="7" borderId="59" xfId="0" applyFill="1" applyBorder="1" applyAlignment="1">
      <alignment horizontal="center"/>
    </xf>
    <xf numFmtId="0" fontId="27" fillId="0" borderId="7" xfId="0" applyFont="1" applyBorder="1" applyAlignment="1">
      <alignment horizontal="center"/>
    </xf>
    <xf numFmtId="164" fontId="0" fillId="7" borderId="13" xfId="0" applyNumberFormat="1" applyFont="1" applyFill="1" applyBorder="1" applyAlignment="1">
      <alignment horizontal="center"/>
    </xf>
    <xf numFmtId="164" fontId="0" fillId="7" borderId="3" xfId="0" applyNumberFormat="1" applyFont="1" applyFill="1" applyBorder="1" applyAlignment="1">
      <alignment horizontal="center"/>
    </xf>
    <xf numFmtId="164" fontId="0" fillId="7" borderId="1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108</xdr:row>
      <xdr:rowOff>152400</xdr:rowOff>
    </xdr:from>
    <xdr:to>
      <xdr:col>9</xdr:col>
      <xdr:colOff>161925</xdr:colOff>
      <xdr:row>112</xdr:row>
      <xdr:rowOff>104775</xdr:rowOff>
    </xdr:to>
    <xdr:sp>
      <xdr:nvSpPr>
        <xdr:cNvPr id="1" name="AutoShape 416"/>
        <xdr:cNvSpPr>
          <a:spLocks/>
        </xdr:cNvSpPr>
      </xdr:nvSpPr>
      <xdr:spPr>
        <a:xfrm>
          <a:off x="6981825" y="22488525"/>
          <a:ext cx="2800350" cy="619125"/>
        </a:xfrm>
        <a:custGeom>
          <a:pathLst>
            <a:path h="48" w="274">
              <a:moveTo>
                <a:pt x="274" y="0"/>
              </a:moveTo>
              <a:cubicBezTo>
                <a:pt x="266" y="1"/>
                <a:pt x="265" y="7"/>
                <a:pt x="227" y="9"/>
              </a:cubicBezTo>
              <a:cubicBezTo>
                <a:pt x="189" y="11"/>
                <a:pt x="83" y="5"/>
                <a:pt x="46" y="11"/>
              </a:cubicBezTo>
              <a:cubicBezTo>
                <a:pt x="9" y="17"/>
                <a:pt x="0" y="36"/>
                <a:pt x="7" y="42"/>
              </a:cubicBezTo>
              <a:cubicBezTo>
                <a:pt x="14" y="48"/>
                <a:pt x="71" y="46"/>
                <a:pt x="88" y="47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100</xdr:row>
      <xdr:rowOff>161925</xdr:rowOff>
    </xdr:from>
    <xdr:to>
      <xdr:col>10</xdr:col>
      <xdr:colOff>200025</xdr:colOff>
      <xdr:row>102</xdr:row>
      <xdr:rowOff>190500</xdr:rowOff>
    </xdr:to>
    <xdr:sp>
      <xdr:nvSpPr>
        <xdr:cNvPr id="2" name="AutoShape 417"/>
        <xdr:cNvSpPr>
          <a:spLocks/>
        </xdr:cNvSpPr>
      </xdr:nvSpPr>
      <xdr:spPr>
        <a:xfrm>
          <a:off x="10163175" y="21059775"/>
          <a:ext cx="400050" cy="361950"/>
        </a:xfrm>
        <a:custGeom>
          <a:pathLst>
            <a:path h="29" w="42">
              <a:moveTo>
                <a:pt x="31" y="0"/>
              </a:moveTo>
              <a:cubicBezTo>
                <a:pt x="15" y="4"/>
                <a:pt x="0" y="9"/>
                <a:pt x="2" y="14"/>
              </a:cubicBezTo>
              <a:cubicBezTo>
                <a:pt x="4" y="19"/>
                <a:pt x="36" y="27"/>
                <a:pt x="42" y="2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77</xdr:row>
      <xdr:rowOff>76200</xdr:rowOff>
    </xdr:from>
    <xdr:to>
      <xdr:col>3</xdr:col>
      <xdr:colOff>809625</xdr:colOff>
      <xdr:row>77</xdr:row>
      <xdr:rowOff>76200</xdr:rowOff>
    </xdr:to>
    <xdr:sp>
      <xdr:nvSpPr>
        <xdr:cNvPr id="3" name="Line 418"/>
        <xdr:cNvSpPr>
          <a:spLocks/>
        </xdr:cNvSpPr>
      </xdr:nvSpPr>
      <xdr:spPr>
        <a:xfrm>
          <a:off x="2657475" y="158781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58</xdr:row>
      <xdr:rowOff>76200</xdr:rowOff>
    </xdr:from>
    <xdr:to>
      <xdr:col>4</xdr:col>
      <xdr:colOff>647700</xdr:colOff>
      <xdr:row>67</xdr:row>
      <xdr:rowOff>114300</xdr:rowOff>
    </xdr:to>
    <xdr:grpSp>
      <xdr:nvGrpSpPr>
        <xdr:cNvPr id="4" name="Group 438"/>
        <xdr:cNvGrpSpPr>
          <a:grpSpLocks/>
        </xdr:cNvGrpSpPr>
      </xdr:nvGrpSpPr>
      <xdr:grpSpPr>
        <a:xfrm>
          <a:off x="257175" y="12163425"/>
          <a:ext cx="4895850" cy="1762125"/>
          <a:chOff x="27" y="1273"/>
          <a:chExt cx="514" cy="185"/>
        </a:xfrm>
        <a:solidFill>
          <a:srgbClr val="FFFFFF"/>
        </a:solidFill>
      </xdr:grpSpPr>
      <xdr:grpSp>
        <xdr:nvGrpSpPr>
          <xdr:cNvPr id="5" name="Group 423"/>
          <xdr:cNvGrpSpPr>
            <a:grpSpLocks/>
          </xdr:cNvGrpSpPr>
        </xdr:nvGrpSpPr>
        <xdr:grpSpPr>
          <a:xfrm>
            <a:off x="27" y="1306"/>
            <a:ext cx="514" cy="152"/>
            <a:chOff x="27" y="1309"/>
            <a:chExt cx="517" cy="149"/>
          </a:xfrm>
          <a:solidFill>
            <a:srgbClr val="FFFFFF"/>
          </a:solidFill>
        </xdr:grpSpPr>
        <xdr:sp>
          <xdr:nvSpPr>
            <xdr:cNvPr id="6" name="Polygon 397"/>
            <xdr:cNvSpPr>
              <a:spLocks/>
            </xdr:cNvSpPr>
          </xdr:nvSpPr>
          <xdr:spPr>
            <a:xfrm>
              <a:off x="67" y="1309"/>
              <a:ext cx="453" cy="145"/>
            </a:xfrm>
            <a:custGeom>
              <a:pathLst>
                <a:path h="142" w="363">
                  <a:moveTo>
                    <a:pt x="5" y="140"/>
                  </a:moveTo>
                  <a:cubicBezTo>
                    <a:pt x="8" y="142"/>
                    <a:pt x="3" y="115"/>
                    <a:pt x="5" y="103"/>
                  </a:cubicBezTo>
                  <a:cubicBezTo>
                    <a:pt x="6" y="99"/>
                    <a:pt x="7" y="88"/>
                    <a:pt x="7" y="88"/>
                  </a:cubicBezTo>
                  <a:cubicBezTo>
                    <a:pt x="8" y="83"/>
                    <a:pt x="0" y="73"/>
                    <a:pt x="8" y="70"/>
                  </a:cubicBezTo>
                  <a:cubicBezTo>
                    <a:pt x="16" y="67"/>
                    <a:pt x="37" y="69"/>
                    <a:pt x="56" y="70"/>
                  </a:cubicBezTo>
                  <a:cubicBezTo>
                    <a:pt x="61" y="70"/>
                    <a:pt x="113" y="72"/>
                    <a:pt x="121" y="74"/>
                  </a:cubicBezTo>
                  <a:cubicBezTo>
                    <a:pt x="127" y="74"/>
                    <a:pt x="139" y="77"/>
                    <a:pt x="139" y="77"/>
                  </a:cubicBezTo>
                  <a:cubicBezTo>
                    <a:pt x="141" y="77"/>
                    <a:pt x="143" y="77"/>
                    <a:pt x="145" y="75"/>
                  </a:cubicBezTo>
                  <a:cubicBezTo>
                    <a:pt x="149" y="70"/>
                    <a:pt x="137" y="37"/>
                    <a:pt x="134" y="32"/>
                  </a:cubicBezTo>
                  <a:cubicBezTo>
                    <a:pt x="132" y="19"/>
                    <a:pt x="126" y="11"/>
                    <a:pt x="123" y="0"/>
                  </a:cubicBezTo>
                  <a:cubicBezTo>
                    <a:pt x="129" y="0"/>
                    <a:pt x="135" y="0"/>
                    <a:pt x="141" y="2"/>
                  </a:cubicBezTo>
                  <a:cubicBezTo>
                    <a:pt x="152" y="5"/>
                    <a:pt x="157" y="72"/>
                    <a:pt x="167" y="77"/>
                  </a:cubicBezTo>
                  <a:cubicBezTo>
                    <a:pt x="174" y="74"/>
                    <a:pt x="183" y="74"/>
                    <a:pt x="189" y="72"/>
                  </a:cubicBezTo>
                  <a:cubicBezTo>
                    <a:pt x="211" y="74"/>
                    <a:pt x="232" y="77"/>
                    <a:pt x="254" y="79"/>
                  </a:cubicBezTo>
                  <a:cubicBezTo>
                    <a:pt x="277" y="79"/>
                    <a:pt x="299" y="77"/>
                    <a:pt x="321" y="77"/>
                  </a:cubicBezTo>
                  <a:cubicBezTo>
                    <a:pt x="349" y="77"/>
                    <a:pt x="343" y="68"/>
                    <a:pt x="352" y="84"/>
                  </a:cubicBezTo>
                  <a:cubicBezTo>
                    <a:pt x="357" y="109"/>
                    <a:pt x="363" y="114"/>
                    <a:pt x="363" y="142"/>
                  </a:cubicBezTo>
                  <a:lnTo>
                    <a:pt x="6" y="142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398"/>
            <xdr:cNvSpPr>
              <a:spLocks/>
            </xdr:cNvSpPr>
          </xdr:nvSpPr>
          <xdr:spPr>
            <a:xfrm>
              <a:off x="109" y="1324"/>
              <a:ext cx="64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Partie A</a:t>
              </a:r>
            </a:p>
          </xdr:txBody>
        </xdr:sp>
        <xdr:sp>
          <xdr:nvSpPr>
            <xdr:cNvPr id="8" name="Rectangle 399"/>
            <xdr:cNvSpPr>
              <a:spLocks/>
            </xdr:cNvSpPr>
          </xdr:nvSpPr>
          <xdr:spPr>
            <a:xfrm>
              <a:off x="384" y="1354"/>
              <a:ext cx="6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Partie B</a:t>
              </a:r>
            </a:p>
          </xdr:txBody>
        </xdr:sp>
        <xdr:sp>
          <xdr:nvSpPr>
            <xdr:cNvPr id="9" name="Line 400"/>
            <xdr:cNvSpPr>
              <a:spLocks/>
            </xdr:cNvSpPr>
          </xdr:nvSpPr>
          <xdr:spPr>
            <a:xfrm flipH="1">
              <a:off x="250" y="1325"/>
              <a:ext cx="44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401"/>
            <xdr:cNvSpPr>
              <a:spLocks/>
            </xdr:cNvSpPr>
          </xdr:nvSpPr>
          <xdr:spPr>
            <a:xfrm>
              <a:off x="296" y="1314"/>
              <a:ext cx="112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MONTERIE</a:t>
              </a:r>
            </a:p>
          </xdr:txBody>
        </xdr:sp>
        <xdr:sp>
          <xdr:nvSpPr>
            <xdr:cNvPr id="11" name="Line 402"/>
            <xdr:cNvSpPr>
              <a:spLocks/>
            </xdr:cNvSpPr>
          </xdr:nvSpPr>
          <xdr:spPr>
            <a:xfrm>
              <a:off x="77" y="1420"/>
              <a:ext cx="439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Oval 403"/>
            <xdr:cNvSpPr>
              <a:spLocks noChangeAspect="1"/>
            </xdr:cNvSpPr>
          </xdr:nvSpPr>
          <xdr:spPr>
            <a:xfrm>
              <a:off x="27" y="1357"/>
              <a:ext cx="35" cy="31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13" name="Oval 404"/>
            <xdr:cNvSpPr>
              <a:spLocks noChangeAspect="1"/>
            </xdr:cNvSpPr>
          </xdr:nvSpPr>
          <xdr:spPr>
            <a:xfrm>
              <a:off x="333" y="1354"/>
              <a:ext cx="33" cy="34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3</a:t>
              </a:r>
            </a:p>
          </xdr:txBody>
        </xdr:sp>
        <xdr:sp>
          <xdr:nvSpPr>
            <xdr:cNvPr id="14" name="Oval 405"/>
            <xdr:cNvSpPr>
              <a:spLocks noChangeAspect="1"/>
            </xdr:cNvSpPr>
          </xdr:nvSpPr>
          <xdr:spPr>
            <a:xfrm>
              <a:off x="38" y="1420"/>
              <a:ext cx="37" cy="38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4</a:t>
              </a:r>
            </a:p>
          </xdr:txBody>
        </xdr:sp>
        <xdr:sp>
          <xdr:nvSpPr>
            <xdr:cNvPr id="15" name="Oval 406"/>
            <xdr:cNvSpPr>
              <a:spLocks noChangeAspect="1"/>
            </xdr:cNvSpPr>
          </xdr:nvSpPr>
          <xdr:spPr>
            <a:xfrm>
              <a:off x="148" y="1349"/>
              <a:ext cx="31" cy="31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16" name="Polygon 407"/>
            <xdr:cNvSpPr>
              <a:spLocks/>
            </xdr:cNvSpPr>
          </xdr:nvSpPr>
          <xdr:spPr>
            <a:xfrm>
              <a:off x="73" y="1351"/>
              <a:ext cx="21" cy="31"/>
            </a:xfrm>
            <a:custGeom>
              <a:pathLst>
                <a:path h="25" w="15">
                  <a:moveTo>
                    <a:pt x="1" y="25"/>
                  </a:moveTo>
                  <a:lnTo>
                    <a:pt x="0" y="1"/>
                  </a:lnTo>
                  <a:lnTo>
                    <a:pt x="13" y="0"/>
                  </a:lnTo>
                  <a:lnTo>
                    <a:pt x="15" y="22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Polygon 408"/>
            <xdr:cNvSpPr>
              <a:spLocks/>
            </xdr:cNvSpPr>
          </xdr:nvSpPr>
          <xdr:spPr>
            <a:xfrm>
              <a:off x="482" y="1349"/>
              <a:ext cx="27" cy="40"/>
            </a:xfrm>
            <a:custGeom>
              <a:pathLst>
                <a:path h="27" w="21">
                  <a:moveTo>
                    <a:pt x="15" y="27"/>
                  </a:moveTo>
                  <a:lnTo>
                    <a:pt x="21" y="3"/>
                  </a:lnTo>
                  <a:lnTo>
                    <a:pt x="7" y="0"/>
                  </a:lnTo>
                  <a:lnTo>
                    <a:pt x="0" y="26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409"/>
            <xdr:cNvSpPr>
              <a:spLocks noChangeAspect="1"/>
            </xdr:cNvSpPr>
          </xdr:nvSpPr>
          <xdr:spPr>
            <a:xfrm>
              <a:off x="515" y="1347"/>
              <a:ext cx="29" cy="29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19" name="Line 410"/>
            <xdr:cNvSpPr>
              <a:spLocks/>
            </xdr:cNvSpPr>
          </xdr:nvSpPr>
          <xdr:spPr>
            <a:xfrm>
              <a:off x="77" y="1350"/>
              <a:ext cx="16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411"/>
            <xdr:cNvSpPr>
              <a:spLocks/>
            </xdr:cNvSpPr>
          </xdr:nvSpPr>
          <xdr:spPr>
            <a:xfrm flipH="1" flipV="1">
              <a:off x="260" y="1350"/>
              <a:ext cx="25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412"/>
            <xdr:cNvSpPr>
              <a:spLocks noChangeAspect="1"/>
            </xdr:cNvSpPr>
          </xdr:nvSpPr>
          <xdr:spPr>
            <a:xfrm>
              <a:off x="510" y="1425"/>
              <a:ext cx="33" cy="29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5</a:t>
              </a:r>
            </a:p>
          </xdr:txBody>
        </xdr:sp>
        <xdr:sp>
          <xdr:nvSpPr>
            <xdr:cNvPr id="22" name="Polygon 413"/>
            <xdr:cNvSpPr>
              <a:spLocks/>
            </xdr:cNvSpPr>
          </xdr:nvSpPr>
          <xdr:spPr>
            <a:xfrm>
              <a:off x="80" y="1422"/>
              <a:ext cx="20" cy="32"/>
            </a:xfrm>
            <a:custGeom>
              <a:pathLst>
                <a:path h="27" w="17">
                  <a:moveTo>
                    <a:pt x="17" y="27"/>
                  </a:moveTo>
                  <a:lnTo>
                    <a:pt x="17" y="0"/>
                  </a:lnTo>
                  <a:lnTo>
                    <a:pt x="0" y="0"/>
                  </a:lnTo>
                  <a:lnTo>
                    <a:pt x="0" y="27"/>
                  </a:lnTo>
                </a:path>
              </a:pathLst>
            </a:custGeom>
            <a:pattFill prst="ltHorz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Polygon 414"/>
            <xdr:cNvSpPr>
              <a:spLocks/>
            </xdr:cNvSpPr>
          </xdr:nvSpPr>
          <xdr:spPr>
            <a:xfrm>
              <a:off x="488" y="1422"/>
              <a:ext cx="20" cy="32"/>
            </a:xfrm>
            <a:custGeom>
              <a:pathLst>
                <a:path h="27" w="17">
                  <a:moveTo>
                    <a:pt x="17" y="27"/>
                  </a:moveTo>
                  <a:lnTo>
                    <a:pt x="17" y="0"/>
                  </a:lnTo>
                  <a:lnTo>
                    <a:pt x="0" y="0"/>
                  </a:lnTo>
                  <a:lnTo>
                    <a:pt x="0" y="27"/>
                  </a:lnTo>
                </a:path>
              </a:pathLst>
            </a:custGeom>
            <a:pattFill prst="ltHorz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" name="TextBox 437"/>
          <xdr:cNvSpPr txBox="1">
            <a:spLocks noChangeAspect="1" noChangeArrowheads="1"/>
          </xdr:cNvSpPr>
        </xdr:nvSpPr>
        <xdr:spPr>
          <a:xfrm>
            <a:off x="35" y="1273"/>
            <a:ext cx="482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Étapes typiques de minage par trous verticaux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828675</xdr:colOff>
      <xdr:row>62</xdr:row>
      <xdr:rowOff>76200</xdr:rowOff>
    </xdr:from>
    <xdr:to>
      <xdr:col>12</xdr:col>
      <xdr:colOff>857250</xdr:colOff>
      <xdr:row>78</xdr:row>
      <xdr:rowOff>114300</xdr:rowOff>
    </xdr:to>
    <xdr:grpSp>
      <xdr:nvGrpSpPr>
        <xdr:cNvPr id="1" name="Group 503"/>
        <xdr:cNvGrpSpPr>
          <a:grpSpLocks/>
        </xdr:cNvGrpSpPr>
      </xdr:nvGrpSpPr>
      <xdr:grpSpPr>
        <a:xfrm>
          <a:off x="7667625" y="12887325"/>
          <a:ext cx="4629150" cy="2962275"/>
          <a:chOff x="797" y="1298"/>
          <a:chExt cx="486" cy="287"/>
        </a:xfrm>
        <a:solidFill>
          <a:srgbClr val="FFFFFF"/>
        </a:solidFill>
      </xdr:grpSpPr>
      <xdr:sp>
        <xdr:nvSpPr>
          <xdr:cNvPr id="2" name="AutoShape 365"/>
          <xdr:cNvSpPr>
            <a:spLocks/>
          </xdr:cNvSpPr>
        </xdr:nvSpPr>
        <xdr:spPr>
          <a:xfrm>
            <a:off x="872" y="1467"/>
            <a:ext cx="384" cy="25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66"/>
          <xdr:cNvSpPr>
            <a:spLocks/>
          </xdr:cNvSpPr>
        </xdr:nvSpPr>
        <xdr:spPr>
          <a:xfrm>
            <a:off x="887" y="1421"/>
            <a:ext cx="369" cy="24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367"/>
          <xdr:cNvSpPr>
            <a:spLocks/>
          </xdr:cNvSpPr>
        </xdr:nvSpPr>
        <xdr:spPr>
          <a:xfrm>
            <a:off x="884" y="1398"/>
            <a:ext cx="372" cy="25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Polygon 368"/>
          <xdr:cNvSpPr>
            <a:spLocks/>
          </xdr:cNvSpPr>
        </xdr:nvSpPr>
        <xdr:spPr>
          <a:xfrm>
            <a:off x="873" y="1393"/>
            <a:ext cx="16" cy="75"/>
          </a:xfrm>
          <a:custGeom>
            <a:pathLst>
              <a:path h="84" w="17">
                <a:moveTo>
                  <a:pt x="0" y="83"/>
                </a:moveTo>
                <a:lnTo>
                  <a:pt x="0" y="0"/>
                </a:lnTo>
                <a:lnTo>
                  <a:pt x="17" y="1"/>
                </a:lnTo>
                <a:lnTo>
                  <a:pt x="17" y="84"/>
                </a:lnTo>
                <a:lnTo>
                  <a:pt x="0" y="8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Polygon 369"/>
          <xdr:cNvSpPr>
            <a:spLocks/>
          </xdr:cNvSpPr>
        </xdr:nvSpPr>
        <xdr:spPr>
          <a:xfrm>
            <a:off x="873" y="1491"/>
            <a:ext cx="383" cy="66"/>
          </a:xfrm>
          <a:custGeom>
            <a:pathLst>
              <a:path h="67" w="367">
                <a:moveTo>
                  <a:pt x="0" y="67"/>
                </a:moveTo>
                <a:lnTo>
                  <a:pt x="0" y="0"/>
                </a:lnTo>
                <a:lnTo>
                  <a:pt x="367" y="0"/>
                </a:lnTo>
                <a:lnTo>
                  <a:pt x="367" y="67"/>
                </a:lnTo>
                <a:lnTo>
                  <a:pt x="0" y="6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370"/>
          <xdr:cNvSpPr>
            <a:spLocks/>
          </xdr:cNvSpPr>
        </xdr:nvSpPr>
        <xdr:spPr>
          <a:xfrm>
            <a:off x="849" y="1326"/>
            <a:ext cx="99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MONTERIE</a:t>
            </a:r>
          </a:p>
        </xdr:txBody>
      </xdr:sp>
      <xdr:sp>
        <xdr:nvSpPr>
          <xdr:cNvPr id="8" name="Line 371"/>
          <xdr:cNvSpPr>
            <a:spLocks/>
          </xdr:cNvSpPr>
        </xdr:nvSpPr>
        <xdr:spPr>
          <a:xfrm>
            <a:off x="872" y="1505"/>
            <a:ext cx="38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372"/>
          <xdr:cNvSpPr>
            <a:spLocks noChangeAspect="1"/>
          </xdr:cNvSpPr>
        </xdr:nvSpPr>
        <xdr:spPr>
          <a:xfrm>
            <a:off x="847" y="1443"/>
            <a:ext cx="29" cy="2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0" name="Oval 373"/>
          <xdr:cNvSpPr>
            <a:spLocks noChangeAspect="1"/>
          </xdr:cNvSpPr>
        </xdr:nvSpPr>
        <xdr:spPr>
          <a:xfrm>
            <a:off x="1021" y="1442"/>
            <a:ext cx="27" cy="25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11" name="Oval 374"/>
          <xdr:cNvSpPr>
            <a:spLocks noChangeAspect="1"/>
          </xdr:cNvSpPr>
        </xdr:nvSpPr>
        <xdr:spPr>
          <a:xfrm>
            <a:off x="1256" y="1482"/>
            <a:ext cx="27" cy="25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2" name="Oval 375"/>
          <xdr:cNvSpPr>
            <a:spLocks noChangeAspect="1"/>
          </xdr:cNvSpPr>
        </xdr:nvSpPr>
        <xdr:spPr>
          <a:xfrm>
            <a:off x="985" y="1467"/>
            <a:ext cx="25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3" name="Oval 376"/>
          <xdr:cNvSpPr>
            <a:spLocks noChangeAspect="1"/>
          </xdr:cNvSpPr>
        </xdr:nvSpPr>
        <xdr:spPr>
          <a:xfrm>
            <a:off x="1254" y="1451"/>
            <a:ext cx="28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14" name="Polygon 377"/>
          <xdr:cNvSpPr>
            <a:spLocks/>
          </xdr:cNvSpPr>
        </xdr:nvSpPr>
        <xdr:spPr>
          <a:xfrm>
            <a:off x="1233" y="1502"/>
            <a:ext cx="20" cy="55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Polygon 378"/>
          <xdr:cNvSpPr>
            <a:spLocks/>
          </xdr:cNvSpPr>
        </xdr:nvSpPr>
        <xdr:spPr>
          <a:xfrm>
            <a:off x="817" y="1476"/>
            <a:ext cx="58" cy="15"/>
          </a:xfrm>
          <a:custGeom>
            <a:pathLst>
              <a:path h="17" w="54">
                <a:moveTo>
                  <a:pt x="0" y="17"/>
                </a:moveTo>
                <a:lnTo>
                  <a:pt x="54" y="16"/>
                </a:lnTo>
                <a:lnTo>
                  <a:pt x="53" y="0"/>
                </a:lnTo>
                <a:lnTo>
                  <a:pt x="0" y="0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379"/>
          <xdr:cNvSpPr>
            <a:spLocks/>
          </xdr:cNvSpPr>
        </xdr:nvSpPr>
        <xdr:spPr>
          <a:xfrm>
            <a:off x="890" y="1442"/>
            <a:ext cx="367" cy="25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Polygon 380"/>
          <xdr:cNvSpPr>
            <a:spLocks/>
          </xdr:cNvSpPr>
        </xdr:nvSpPr>
        <xdr:spPr>
          <a:xfrm>
            <a:off x="817" y="1383"/>
            <a:ext cx="58" cy="14"/>
          </a:xfrm>
          <a:custGeom>
            <a:pathLst>
              <a:path h="17" w="54">
                <a:moveTo>
                  <a:pt x="0" y="17"/>
                </a:moveTo>
                <a:lnTo>
                  <a:pt x="54" y="16"/>
                </a:lnTo>
                <a:lnTo>
                  <a:pt x="53" y="0"/>
                </a:lnTo>
                <a:lnTo>
                  <a:pt x="0" y="0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381"/>
          <xdr:cNvSpPr>
            <a:spLocks/>
          </xdr:cNvSpPr>
        </xdr:nvSpPr>
        <xdr:spPr>
          <a:xfrm>
            <a:off x="872" y="1442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82"/>
          <xdr:cNvSpPr>
            <a:spLocks/>
          </xdr:cNvSpPr>
        </xdr:nvSpPr>
        <xdr:spPr>
          <a:xfrm>
            <a:off x="872" y="1419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Polygon 383"/>
          <xdr:cNvSpPr>
            <a:spLocks/>
          </xdr:cNvSpPr>
        </xdr:nvSpPr>
        <xdr:spPr>
          <a:xfrm>
            <a:off x="1233" y="1401"/>
            <a:ext cx="20" cy="29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Polygon 384"/>
          <xdr:cNvSpPr>
            <a:spLocks/>
          </xdr:cNvSpPr>
        </xdr:nvSpPr>
        <xdr:spPr>
          <a:xfrm>
            <a:off x="1233" y="1473"/>
            <a:ext cx="20" cy="29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385"/>
          <xdr:cNvSpPr>
            <a:spLocks noChangeAspect="1"/>
          </xdr:cNvSpPr>
        </xdr:nvSpPr>
        <xdr:spPr>
          <a:xfrm>
            <a:off x="847" y="1419"/>
            <a:ext cx="28" cy="23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23" name="Oval 386"/>
          <xdr:cNvSpPr>
            <a:spLocks noChangeAspect="1"/>
          </xdr:cNvSpPr>
        </xdr:nvSpPr>
        <xdr:spPr>
          <a:xfrm>
            <a:off x="848" y="1393"/>
            <a:ext cx="25" cy="21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24" name="Polygon 387"/>
          <xdr:cNvSpPr>
            <a:spLocks/>
          </xdr:cNvSpPr>
        </xdr:nvSpPr>
        <xdr:spPr>
          <a:xfrm>
            <a:off x="1233" y="1449"/>
            <a:ext cx="20" cy="26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388"/>
          <xdr:cNvSpPr>
            <a:spLocks noChangeAspect="1"/>
          </xdr:cNvSpPr>
        </xdr:nvSpPr>
        <xdr:spPr>
          <a:xfrm>
            <a:off x="1060" y="1418"/>
            <a:ext cx="29" cy="23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26" name="Polygon 389"/>
          <xdr:cNvSpPr>
            <a:spLocks/>
          </xdr:cNvSpPr>
        </xdr:nvSpPr>
        <xdr:spPr>
          <a:xfrm>
            <a:off x="1233" y="1426"/>
            <a:ext cx="20" cy="23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390"/>
          <xdr:cNvSpPr>
            <a:spLocks noChangeAspect="1"/>
          </xdr:cNvSpPr>
        </xdr:nvSpPr>
        <xdr:spPr>
          <a:xfrm>
            <a:off x="1253" y="1423"/>
            <a:ext cx="27" cy="2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28" name="Oval 391"/>
          <xdr:cNvSpPr>
            <a:spLocks noChangeAspect="1"/>
          </xdr:cNvSpPr>
        </xdr:nvSpPr>
        <xdr:spPr>
          <a:xfrm>
            <a:off x="1095" y="1391"/>
            <a:ext cx="33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29" name="Oval 392"/>
          <xdr:cNvSpPr>
            <a:spLocks noChangeAspect="1"/>
          </xdr:cNvSpPr>
        </xdr:nvSpPr>
        <xdr:spPr>
          <a:xfrm>
            <a:off x="1253" y="1393"/>
            <a:ext cx="30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11</a:t>
            </a:r>
          </a:p>
        </xdr:txBody>
      </xdr:sp>
      <xdr:sp>
        <xdr:nvSpPr>
          <xdr:cNvPr id="30" name="Line 393"/>
          <xdr:cNvSpPr>
            <a:spLocks/>
          </xdr:cNvSpPr>
        </xdr:nvSpPr>
        <xdr:spPr>
          <a:xfrm flipH="1">
            <a:off x="821" y="1339"/>
            <a:ext cx="29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Box 394"/>
          <xdr:cNvSpPr txBox="1">
            <a:spLocks noChangeArrowheads="1"/>
          </xdr:cNvSpPr>
        </xdr:nvSpPr>
        <xdr:spPr>
          <a:xfrm>
            <a:off x="936" y="1510"/>
            <a:ext cx="25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niveau du minerai cassé avant l'étape 1</a:t>
            </a:r>
          </a:p>
        </xdr:txBody>
      </xdr:sp>
      <xdr:sp>
        <xdr:nvSpPr>
          <xdr:cNvPr id="32" name="TextBox 395"/>
          <xdr:cNvSpPr txBox="1">
            <a:spLocks noChangeArrowheads="1"/>
          </xdr:cNvSpPr>
        </xdr:nvSpPr>
        <xdr:spPr>
          <a:xfrm>
            <a:off x="980" y="1298"/>
            <a:ext cx="292" cy="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Monterie hors chantier</a:t>
            </a:r>
            <a:r>
              <a:rPr lang="en-US" cap="none" sz="18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(trous horizontaux)</a:t>
            </a:r>
          </a:p>
        </xdr:txBody>
      </xdr:sp>
      <xdr:sp>
        <xdr:nvSpPr>
          <xdr:cNvPr id="33" name="Polygon 396"/>
          <xdr:cNvSpPr>
            <a:spLocks/>
          </xdr:cNvSpPr>
        </xdr:nvSpPr>
        <xdr:spPr>
          <a:xfrm>
            <a:off x="797" y="1322"/>
            <a:ext cx="22" cy="263"/>
          </a:xfrm>
          <a:custGeom>
            <a:pathLst>
              <a:path h="207" w="21">
                <a:moveTo>
                  <a:pt x="21" y="207"/>
                </a:moveTo>
                <a:lnTo>
                  <a:pt x="21" y="0"/>
                </a:lnTo>
                <a:lnTo>
                  <a:pt x="0" y="0"/>
                </a:lnTo>
                <a:lnTo>
                  <a:pt x="0" y="207"/>
                </a:lnTo>
                <a:lnTo>
                  <a:pt x="21" y="20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180</xdr:row>
      <xdr:rowOff>95250</xdr:rowOff>
    </xdr:from>
    <xdr:to>
      <xdr:col>10</xdr:col>
      <xdr:colOff>800100</xdr:colOff>
      <xdr:row>181</xdr:row>
      <xdr:rowOff>171450</xdr:rowOff>
    </xdr:to>
    <xdr:sp>
      <xdr:nvSpPr>
        <xdr:cNvPr id="34" name="AutoShape 112"/>
        <xdr:cNvSpPr>
          <a:spLocks/>
        </xdr:cNvSpPr>
      </xdr:nvSpPr>
      <xdr:spPr>
        <a:xfrm>
          <a:off x="9715500" y="35718750"/>
          <a:ext cx="742950" cy="276225"/>
        </a:xfrm>
        <a:custGeom>
          <a:pathLst>
            <a:path h="31" w="93">
              <a:moveTo>
                <a:pt x="0" y="1"/>
              </a:moveTo>
              <a:cubicBezTo>
                <a:pt x="31" y="0"/>
                <a:pt x="63" y="0"/>
                <a:pt x="78" y="5"/>
              </a:cubicBezTo>
              <a:cubicBezTo>
                <a:pt x="93" y="10"/>
                <a:pt x="84" y="25"/>
                <a:pt x="88" y="31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76200</xdr:rowOff>
    </xdr:from>
    <xdr:to>
      <xdr:col>5</xdr:col>
      <xdr:colOff>419100</xdr:colOff>
      <xdr:row>77</xdr:row>
      <xdr:rowOff>142875</xdr:rowOff>
    </xdr:to>
    <xdr:grpSp>
      <xdr:nvGrpSpPr>
        <xdr:cNvPr id="35" name="Group 504"/>
        <xdr:cNvGrpSpPr>
          <a:grpSpLocks/>
        </xdr:cNvGrpSpPr>
      </xdr:nvGrpSpPr>
      <xdr:grpSpPr>
        <a:xfrm>
          <a:off x="0" y="13573125"/>
          <a:ext cx="5429250" cy="2143125"/>
          <a:chOff x="0" y="1421"/>
          <a:chExt cx="570" cy="225"/>
        </a:xfrm>
        <a:solidFill>
          <a:srgbClr val="FFFFFF"/>
        </a:solidFill>
      </xdr:grpSpPr>
      <xdr:sp>
        <xdr:nvSpPr>
          <xdr:cNvPr id="36" name="Rectangle 137"/>
          <xdr:cNvSpPr>
            <a:spLocks noChangeAspect="1"/>
          </xdr:cNvSpPr>
        </xdr:nvSpPr>
        <xdr:spPr>
          <a:xfrm>
            <a:off x="40" y="1541"/>
            <a:ext cx="464" cy="31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138"/>
          <xdr:cNvSpPr>
            <a:spLocks noChangeAspect="1"/>
          </xdr:cNvSpPr>
        </xdr:nvSpPr>
        <xdr:spPr>
          <a:xfrm>
            <a:off x="40" y="1572"/>
            <a:ext cx="464" cy="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139"/>
          <xdr:cNvSpPr>
            <a:spLocks noChangeAspect="1"/>
          </xdr:cNvSpPr>
        </xdr:nvSpPr>
        <xdr:spPr>
          <a:xfrm>
            <a:off x="88" y="1524"/>
            <a:ext cx="6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Partie A</a:t>
            </a:r>
          </a:p>
        </xdr:txBody>
      </xdr:sp>
      <xdr:sp>
        <xdr:nvSpPr>
          <xdr:cNvPr id="39" name="Rectangle 140"/>
          <xdr:cNvSpPr>
            <a:spLocks noChangeAspect="1"/>
          </xdr:cNvSpPr>
        </xdr:nvSpPr>
        <xdr:spPr>
          <a:xfrm>
            <a:off x="368" y="1521"/>
            <a:ext cx="65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Partie B</a:t>
            </a:r>
          </a:p>
        </xdr:txBody>
      </xdr:sp>
      <xdr:sp>
        <xdr:nvSpPr>
          <xdr:cNvPr id="40" name="Line 141"/>
          <xdr:cNvSpPr>
            <a:spLocks noChangeAspect="1"/>
          </xdr:cNvSpPr>
        </xdr:nvSpPr>
        <xdr:spPr>
          <a:xfrm flipH="1">
            <a:off x="245" y="1488"/>
            <a:ext cx="88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142"/>
          <xdr:cNvSpPr>
            <a:spLocks noChangeAspect="1"/>
          </xdr:cNvSpPr>
        </xdr:nvSpPr>
        <xdr:spPr>
          <a:xfrm>
            <a:off x="342" y="1478"/>
            <a:ext cx="76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MONTERIE</a:t>
            </a:r>
          </a:p>
        </xdr:txBody>
      </xdr:sp>
      <xdr:sp>
        <xdr:nvSpPr>
          <xdr:cNvPr id="42" name="Line 143"/>
          <xdr:cNvSpPr>
            <a:spLocks noChangeAspect="1"/>
          </xdr:cNvSpPr>
        </xdr:nvSpPr>
        <xdr:spPr>
          <a:xfrm>
            <a:off x="43" y="1605"/>
            <a:ext cx="46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144"/>
          <xdr:cNvSpPr>
            <a:spLocks noChangeAspect="1"/>
          </xdr:cNvSpPr>
        </xdr:nvSpPr>
        <xdr:spPr>
          <a:xfrm>
            <a:off x="189" y="1538"/>
            <a:ext cx="37" cy="35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4" name="Oval 145"/>
          <xdr:cNvSpPr>
            <a:spLocks noChangeAspect="1"/>
          </xdr:cNvSpPr>
        </xdr:nvSpPr>
        <xdr:spPr>
          <a:xfrm>
            <a:off x="339" y="1536"/>
            <a:ext cx="28" cy="39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45" name="Oval 146"/>
          <xdr:cNvSpPr>
            <a:spLocks noChangeAspect="1"/>
          </xdr:cNvSpPr>
        </xdr:nvSpPr>
        <xdr:spPr>
          <a:xfrm>
            <a:off x="498" y="1562"/>
            <a:ext cx="37" cy="40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46" name="Oval 147"/>
          <xdr:cNvSpPr>
            <a:spLocks noChangeAspect="1"/>
          </xdr:cNvSpPr>
        </xdr:nvSpPr>
        <xdr:spPr>
          <a:xfrm>
            <a:off x="0" y="1569"/>
            <a:ext cx="38" cy="3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47" name="Polygon 148"/>
          <xdr:cNvSpPr>
            <a:spLocks noChangeAspect="1"/>
          </xdr:cNvSpPr>
        </xdr:nvSpPr>
        <xdr:spPr>
          <a:xfrm>
            <a:off x="46" y="1606"/>
            <a:ext cx="22" cy="37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Polygon 149"/>
          <xdr:cNvSpPr>
            <a:spLocks noChangeAspect="1"/>
          </xdr:cNvSpPr>
        </xdr:nvSpPr>
        <xdr:spPr>
          <a:xfrm>
            <a:off x="474" y="1606"/>
            <a:ext cx="22" cy="37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TextBox 150"/>
          <xdr:cNvSpPr txBox="1">
            <a:spLocks noChangeAspect="1" noChangeArrowheads="1"/>
          </xdr:cNvSpPr>
        </xdr:nvSpPr>
        <xdr:spPr>
          <a:xfrm>
            <a:off x="39" y="1421"/>
            <a:ext cx="531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Étapes typiques de minage par trous horizontaux</a:t>
            </a:r>
          </a:p>
        </xdr:txBody>
      </xdr:sp>
      <xdr:sp>
        <xdr:nvSpPr>
          <xdr:cNvPr id="50" name="Polygon 151"/>
          <xdr:cNvSpPr>
            <a:spLocks noChangeAspect="1"/>
          </xdr:cNvSpPr>
        </xdr:nvSpPr>
        <xdr:spPr>
          <a:xfrm>
            <a:off x="216" y="1473"/>
            <a:ext cx="47" cy="99"/>
          </a:xfrm>
          <a:custGeom>
            <a:pathLst>
              <a:path h="72" w="37">
                <a:moveTo>
                  <a:pt x="0" y="0"/>
                </a:moveTo>
                <a:lnTo>
                  <a:pt x="17" y="0"/>
                </a:lnTo>
                <a:lnTo>
                  <a:pt x="37" y="72"/>
                </a:lnTo>
                <a:lnTo>
                  <a:pt x="21" y="7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Polygon 152"/>
          <xdr:cNvSpPr>
            <a:spLocks noChangeAspect="1"/>
          </xdr:cNvSpPr>
        </xdr:nvSpPr>
        <xdr:spPr>
          <a:xfrm>
            <a:off x="474" y="1571"/>
            <a:ext cx="22" cy="37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Polygon 153"/>
          <xdr:cNvSpPr>
            <a:spLocks noChangeAspect="1"/>
          </xdr:cNvSpPr>
        </xdr:nvSpPr>
        <xdr:spPr>
          <a:xfrm>
            <a:off x="46" y="1569"/>
            <a:ext cx="22" cy="37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485775</xdr:colOff>
      <xdr:row>119</xdr:row>
      <xdr:rowOff>200025</xdr:rowOff>
    </xdr:from>
    <xdr:to>
      <xdr:col>13</xdr:col>
      <xdr:colOff>142875</xdr:colOff>
      <xdr:row>122</xdr:row>
      <xdr:rowOff>19050</xdr:rowOff>
    </xdr:to>
    <xdr:sp>
      <xdr:nvSpPr>
        <xdr:cNvPr id="53" name="AutoShape 167"/>
        <xdr:cNvSpPr>
          <a:spLocks/>
        </xdr:cNvSpPr>
      </xdr:nvSpPr>
      <xdr:spPr>
        <a:xfrm>
          <a:off x="11925300" y="23755350"/>
          <a:ext cx="552450" cy="504825"/>
        </a:xfrm>
        <a:custGeom>
          <a:pathLst>
            <a:path h="29" w="42">
              <a:moveTo>
                <a:pt x="31" y="0"/>
              </a:moveTo>
              <a:cubicBezTo>
                <a:pt x="15" y="4"/>
                <a:pt x="0" y="9"/>
                <a:pt x="2" y="14"/>
              </a:cubicBezTo>
              <a:cubicBezTo>
                <a:pt x="4" y="19"/>
                <a:pt x="36" y="27"/>
                <a:pt x="42" y="2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9525</xdr:rowOff>
    </xdr:to>
    <xdr:pic>
      <xdr:nvPicPr>
        <xdr:cNvPr id="54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</xdr:row>
      <xdr:rowOff>38100</xdr:rowOff>
    </xdr:from>
    <xdr:to>
      <xdr:col>6</xdr:col>
      <xdr:colOff>47625</xdr:colOff>
      <xdr:row>37</xdr:row>
      <xdr:rowOff>9525</xdr:rowOff>
    </xdr:to>
    <xdr:grpSp>
      <xdr:nvGrpSpPr>
        <xdr:cNvPr id="1" name="Group 232"/>
        <xdr:cNvGrpSpPr>
          <a:grpSpLocks/>
        </xdr:cNvGrpSpPr>
      </xdr:nvGrpSpPr>
      <xdr:grpSpPr>
        <a:xfrm>
          <a:off x="180975" y="2990850"/>
          <a:ext cx="4438650" cy="3048000"/>
          <a:chOff x="19" y="314"/>
          <a:chExt cx="466" cy="320"/>
        </a:xfrm>
        <a:solidFill>
          <a:srgbClr val="FFFFFF"/>
        </a:solidFill>
      </xdr:grpSpPr>
      <xdr:sp>
        <xdr:nvSpPr>
          <xdr:cNvPr id="2" name="AutoShape 40"/>
          <xdr:cNvSpPr>
            <a:spLocks/>
          </xdr:cNvSpPr>
        </xdr:nvSpPr>
        <xdr:spPr>
          <a:xfrm>
            <a:off x="91" y="476"/>
            <a:ext cx="368" cy="29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49"/>
          <xdr:cNvSpPr>
            <a:spLocks/>
          </xdr:cNvSpPr>
        </xdr:nvSpPr>
        <xdr:spPr>
          <a:xfrm>
            <a:off x="105" y="431"/>
            <a:ext cx="353" cy="22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50"/>
          <xdr:cNvSpPr>
            <a:spLocks/>
          </xdr:cNvSpPr>
        </xdr:nvSpPr>
        <xdr:spPr>
          <a:xfrm>
            <a:off x="103" y="410"/>
            <a:ext cx="355" cy="27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Polygon 52"/>
          <xdr:cNvSpPr>
            <a:spLocks/>
          </xdr:cNvSpPr>
        </xdr:nvSpPr>
        <xdr:spPr>
          <a:xfrm>
            <a:off x="91" y="405"/>
            <a:ext cx="17" cy="75"/>
          </a:xfrm>
          <a:custGeom>
            <a:pathLst>
              <a:path h="84" w="17">
                <a:moveTo>
                  <a:pt x="0" y="83"/>
                </a:moveTo>
                <a:lnTo>
                  <a:pt x="0" y="0"/>
                </a:lnTo>
                <a:lnTo>
                  <a:pt x="17" y="1"/>
                </a:lnTo>
                <a:lnTo>
                  <a:pt x="17" y="84"/>
                </a:lnTo>
                <a:lnTo>
                  <a:pt x="0" y="8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Polygon 46"/>
          <xdr:cNvSpPr>
            <a:spLocks/>
          </xdr:cNvSpPr>
        </xdr:nvSpPr>
        <xdr:spPr>
          <a:xfrm>
            <a:off x="91" y="500"/>
            <a:ext cx="367" cy="75"/>
          </a:xfrm>
          <a:custGeom>
            <a:pathLst>
              <a:path h="67" w="367">
                <a:moveTo>
                  <a:pt x="0" y="67"/>
                </a:moveTo>
                <a:lnTo>
                  <a:pt x="0" y="0"/>
                </a:lnTo>
                <a:lnTo>
                  <a:pt x="367" y="0"/>
                </a:lnTo>
                <a:lnTo>
                  <a:pt x="367" y="67"/>
                </a:lnTo>
                <a:lnTo>
                  <a:pt x="0" y="6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25"/>
          <xdr:cNvSpPr>
            <a:spLocks/>
          </xdr:cNvSpPr>
        </xdr:nvSpPr>
        <xdr:spPr>
          <a:xfrm>
            <a:off x="69" y="345"/>
            <a:ext cx="94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MONTERIE</a:t>
            </a:r>
          </a:p>
        </xdr:txBody>
      </xdr:sp>
      <xdr:sp>
        <xdr:nvSpPr>
          <xdr:cNvPr id="8" name="Line 26"/>
          <xdr:cNvSpPr>
            <a:spLocks/>
          </xdr:cNvSpPr>
        </xdr:nvSpPr>
        <xdr:spPr>
          <a:xfrm>
            <a:off x="91" y="514"/>
            <a:ext cx="36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28"/>
          <xdr:cNvSpPr>
            <a:spLocks noChangeAspect="1"/>
          </xdr:cNvSpPr>
        </xdr:nvSpPr>
        <xdr:spPr>
          <a:xfrm>
            <a:off x="67" y="454"/>
            <a:ext cx="28" cy="3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0" name="Oval 29"/>
          <xdr:cNvSpPr>
            <a:spLocks noChangeAspect="1"/>
          </xdr:cNvSpPr>
        </xdr:nvSpPr>
        <xdr:spPr>
          <a:xfrm>
            <a:off x="233" y="453"/>
            <a:ext cx="25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11" name="Oval 30"/>
          <xdr:cNvSpPr>
            <a:spLocks noChangeAspect="1"/>
          </xdr:cNvSpPr>
        </xdr:nvSpPr>
        <xdr:spPr>
          <a:xfrm>
            <a:off x="459" y="491"/>
            <a:ext cx="26" cy="2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2" name="Oval 33"/>
          <xdr:cNvSpPr>
            <a:spLocks noChangeAspect="1"/>
          </xdr:cNvSpPr>
        </xdr:nvSpPr>
        <xdr:spPr>
          <a:xfrm>
            <a:off x="199" y="476"/>
            <a:ext cx="24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3" name="Oval 36"/>
          <xdr:cNvSpPr>
            <a:spLocks noChangeAspect="1"/>
          </xdr:cNvSpPr>
        </xdr:nvSpPr>
        <xdr:spPr>
          <a:xfrm>
            <a:off x="456" y="462"/>
            <a:ext cx="27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14" name="Polygon 38"/>
          <xdr:cNvSpPr>
            <a:spLocks/>
          </xdr:cNvSpPr>
        </xdr:nvSpPr>
        <xdr:spPr>
          <a:xfrm>
            <a:off x="437" y="513"/>
            <a:ext cx="17" cy="61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Polygon 43"/>
          <xdr:cNvSpPr>
            <a:spLocks/>
          </xdr:cNvSpPr>
        </xdr:nvSpPr>
        <xdr:spPr>
          <a:xfrm>
            <a:off x="39" y="486"/>
            <a:ext cx="54" cy="17"/>
          </a:xfrm>
          <a:custGeom>
            <a:pathLst>
              <a:path h="17" w="54">
                <a:moveTo>
                  <a:pt x="0" y="17"/>
                </a:moveTo>
                <a:lnTo>
                  <a:pt x="54" y="16"/>
                </a:lnTo>
                <a:lnTo>
                  <a:pt x="53" y="0"/>
                </a:lnTo>
                <a:lnTo>
                  <a:pt x="0" y="0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48"/>
          <xdr:cNvSpPr>
            <a:spLocks/>
          </xdr:cNvSpPr>
        </xdr:nvSpPr>
        <xdr:spPr>
          <a:xfrm>
            <a:off x="108" y="453"/>
            <a:ext cx="350" cy="28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Polygon 51"/>
          <xdr:cNvSpPr>
            <a:spLocks/>
          </xdr:cNvSpPr>
        </xdr:nvSpPr>
        <xdr:spPr>
          <a:xfrm>
            <a:off x="39" y="395"/>
            <a:ext cx="54" cy="17"/>
          </a:xfrm>
          <a:custGeom>
            <a:pathLst>
              <a:path h="17" w="54">
                <a:moveTo>
                  <a:pt x="0" y="17"/>
                </a:moveTo>
                <a:lnTo>
                  <a:pt x="54" y="16"/>
                </a:lnTo>
                <a:lnTo>
                  <a:pt x="53" y="0"/>
                </a:lnTo>
                <a:lnTo>
                  <a:pt x="0" y="0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56"/>
          <xdr:cNvSpPr>
            <a:spLocks/>
          </xdr:cNvSpPr>
        </xdr:nvSpPr>
        <xdr:spPr>
          <a:xfrm>
            <a:off x="91" y="45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57"/>
          <xdr:cNvSpPr>
            <a:spLocks/>
          </xdr:cNvSpPr>
        </xdr:nvSpPr>
        <xdr:spPr>
          <a:xfrm>
            <a:off x="91" y="431"/>
            <a:ext cx="1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Polygon 58"/>
          <xdr:cNvSpPr>
            <a:spLocks/>
          </xdr:cNvSpPr>
        </xdr:nvSpPr>
        <xdr:spPr>
          <a:xfrm>
            <a:off x="437" y="412"/>
            <a:ext cx="17" cy="33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Polygon 59"/>
          <xdr:cNvSpPr>
            <a:spLocks/>
          </xdr:cNvSpPr>
        </xdr:nvSpPr>
        <xdr:spPr>
          <a:xfrm>
            <a:off x="437" y="484"/>
            <a:ext cx="17" cy="29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61"/>
          <xdr:cNvSpPr>
            <a:spLocks noChangeAspect="1"/>
          </xdr:cNvSpPr>
        </xdr:nvSpPr>
        <xdr:spPr>
          <a:xfrm>
            <a:off x="65" y="430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23" name="Oval 62"/>
          <xdr:cNvSpPr>
            <a:spLocks noChangeAspect="1"/>
          </xdr:cNvSpPr>
        </xdr:nvSpPr>
        <xdr:spPr>
          <a:xfrm>
            <a:off x="67" y="405"/>
            <a:ext cx="24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24" name="Polygon 63"/>
          <xdr:cNvSpPr>
            <a:spLocks/>
          </xdr:cNvSpPr>
        </xdr:nvSpPr>
        <xdr:spPr>
          <a:xfrm>
            <a:off x="437" y="455"/>
            <a:ext cx="17" cy="30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64"/>
          <xdr:cNvSpPr>
            <a:spLocks noChangeAspect="1"/>
          </xdr:cNvSpPr>
        </xdr:nvSpPr>
        <xdr:spPr>
          <a:xfrm>
            <a:off x="271" y="429"/>
            <a:ext cx="27" cy="25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26" name="Polygon 65"/>
          <xdr:cNvSpPr>
            <a:spLocks/>
          </xdr:cNvSpPr>
        </xdr:nvSpPr>
        <xdr:spPr>
          <a:xfrm>
            <a:off x="437" y="434"/>
            <a:ext cx="17" cy="28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66"/>
          <xdr:cNvSpPr>
            <a:spLocks noChangeAspect="1"/>
          </xdr:cNvSpPr>
        </xdr:nvSpPr>
        <xdr:spPr>
          <a:xfrm>
            <a:off x="455" y="435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28" name="Oval 67"/>
          <xdr:cNvSpPr>
            <a:spLocks noChangeAspect="1"/>
          </xdr:cNvSpPr>
        </xdr:nvSpPr>
        <xdr:spPr>
          <a:xfrm>
            <a:off x="304" y="404"/>
            <a:ext cx="30" cy="2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29" name="Oval 68"/>
          <xdr:cNvSpPr>
            <a:spLocks noChangeAspect="1"/>
          </xdr:cNvSpPr>
        </xdr:nvSpPr>
        <xdr:spPr>
          <a:xfrm>
            <a:off x="455" y="405"/>
            <a:ext cx="30" cy="2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11</a:t>
            </a:r>
          </a:p>
        </xdr:txBody>
      </xdr:sp>
      <xdr:sp>
        <xdr:nvSpPr>
          <xdr:cNvPr id="30" name="Line 70"/>
          <xdr:cNvSpPr>
            <a:spLocks/>
          </xdr:cNvSpPr>
        </xdr:nvSpPr>
        <xdr:spPr>
          <a:xfrm flipH="1">
            <a:off x="41" y="354"/>
            <a:ext cx="2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Box 71"/>
          <xdr:cNvSpPr txBox="1">
            <a:spLocks noChangeArrowheads="1"/>
          </xdr:cNvSpPr>
        </xdr:nvSpPr>
        <xdr:spPr>
          <a:xfrm>
            <a:off x="153" y="518"/>
            <a:ext cx="23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niveau du minerai cassé avant l'étape 1</a:t>
            </a:r>
          </a:p>
        </xdr:txBody>
      </xdr:sp>
      <xdr:sp>
        <xdr:nvSpPr>
          <xdr:cNvPr id="32" name="TextBox 72"/>
          <xdr:cNvSpPr txBox="1">
            <a:spLocks noChangeArrowheads="1"/>
          </xdr:cNvSpPr>
        </xdr:nvSpPr>
        <xdr:spPr>
          <a:xfrm>
            <a:off x="184" y="314"/>
            <a:ext cx="288" cy="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Monterie hors chantier</a:t>
            </a:r>
            <a:r>
              <a:rPr lang="en-US" cap="none" sz="18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(trous horizontaux)</a:t>
            </a:r>
          </a:p>
        </xdr:txBody>
      </xdr:sp>
      <xdr:sp>
        <xdr:nvSpPr>
          <xdr:cNvPr id="33" name="Polygon 39"/>
          <xdr:cNvSpPr>
            <a:spLocks/>
          </xdr:cNvSpPr>
        </xdr:nvSpPr>
        <xdr:spPr>
          <a:xfrm>
            <a:off x="19" y="338"/>
            <a:ext cx="21" cy="296"/>
          </a:xfrm>
          <a:custGeom>
            <a:pathLst>
              <a:path h="207" w="21">
                <a:moveTo>
                  <a:pt x="21" y="207"/>
                </a:moveTo>
                <a:lnTo>
                  <a:pt x="21" y="0"/>
                </a:lnTo>
                <a:lnTo>
                  <a:pt x="0" y="0"/>
                </a:lnTo>
                <a:lnTo>
                  <a:pt x="0" y="207"/>
                </a:lnTo>
                <a:lnTo>
                  <a:pt x="21" y="20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295275</xdr:colOff>
      <xdr:row>5</xdr:row>
      <xdr:rowOff>85725</xdr:rowOff>
    </xdr:from>
    <xdr:to>
      <xdr:col>6</xdr:col>
      <xdr:colOff>409575</xdr:colOff>
      <xdr:row>15</xdr:row>
      <xdr:rowOff>142875</xdr:rowOff>
    </xdr:to>
    <xdr:grpSp>
      <xdr:nvGrpSpPr>
        <xdr:cNvPr id="34" name="Group 228"/>
        <xdr:cNvGrpSpPr>
          <a:grpSpLocks/>
        </xdr:cNvGrpSpPr>
      </xdr:nvGrpSpPr>
      <xdr:grpSpPr>
        <a:xfrm>
          <a:off x="295275" y="923925"/>
          <a:ext cx="4686300" cy="1676400"/>
          <a:chOff x="31" y="97"/>
          <a:chExt cx="492" cy="176"/>
        </a:xfrm>
        <a:solidFill>
          <a:srgbClr val="FFFFFF"/>
        </a:solidFill>
      </xdr:grpSpPr>
      <xdr:grpSp>
        <xdr:nvGrpSpPr>
          <xdr:cNvPr id="35" name="Group 226"/>
          <xdr:cNvGrpSpPr>
            <a:grpSpLocks/>
          </xdr:cNvGrpSpPr>
        </xdr:nvGrpSpPr>
        <xdr:grpSpPr>
          <a:xfrm>
            <a:off x="39" y="150"/>
            <a:ext cx="431" cy="123"/>
            <a:chOff x="39" y="150"/>
            <a:chExt cx="431" cy="123"/>
          </a:xfrm>
          <a:solidFill>
            <a:srgbClr val="FFFFFF"/>
          </a:solidFill>
        </xdr:grpSpPr>
        <xdr:sp>
          <xdr:nvSpPr>
            <xdr:cNvPr id="36" name="Polygon 2"/>
            <xdr:cNvSpPr>
              <a:spLocks/>
            </xdr:cNvSpPr>
          </xdr:nvSpPr>
          <xdr:spPr>
            <a:xfrm>
              <a:off x="72" y="150"/>
              <a:ext cx="378" cy="120"/>
            </a:xfrm>
            <a:custGeom>
              <a:pathLst>
                <a:path h="142" w="363">
                  <a:moveTo>
                    <a:pt x="5" y="140"/>
                  </a:moveTo>
                  <a:cubicBezTo>
                    <a:pt x="8" y="142"/>
                    <a:pt x="3" y="115"/>
                    <a:pt x="5" y="103"/>
                  </a:cubicBezTo>
                  <a:cubicBezTo>
                    <a:pt x="6" y="99"/>
                    <a:pt x="7" y="88"/>
                    <a:pt x="7" y="88"/>
                  </a:cubicBezTo>
                  <a:cubicBezTo>
                    <a:pt x="8" y="83"/>
                    <a:pt x="0" y="73"/>
                    <a:pt x="8" y="70"/>
                  </a:cubicBezTo>
                  <a:cubicBezTo>
                    <a:pt x="16" y="67"/>
                    <a:pt x="37" y="69"/>
                    <a:pt x="56" y="70"/>
                  </a:cubicBezTo>
                  <a:cubicBezTo>
                    <a:pt x="61" y="70"/>
                    <a:pt x="113" y="72"/>
                    <a:pt x="121" y="74"/>
                  </a:cubicBezTo>
                  <a:cubicBezTo>
                    <a:pt x="127" y="74"/>
                    <a:pt x="139" y="77"/>
                    <a:pt x="139" y="77"/>
                  </a:cubicBezTo>
                  <a:cubicBezTo>
                    <a:pt x="141" y="77"/>
                    <a:pt x="143" y="77"/>
                    <a:pt x="145" y="75"/>
                  </a:cubicBezTo>
                  <a:cubicBezTo>
                    <a:pt x="149" y="70"/>
                    <a:pt x="137" y="37"/>
                    <a:pt x="134" y="32"/>
                  </a:cubicBezTo>
                  <a:cubicBezTo>
                    <a:pt x="132" y="19"/>
                    <a:pt x="126" y="11"/>
                    <a:pt x="123" y="0"/>
                  </a:cubicBezTo>
                  <a:cubicBezTo>
                    <a:pt x="129" y="0"/>
                    <a:pt x="135" y="0"/>
                    <a:pt x="141" y="2"/>
                  </a:cubicBezTo>
                  <a:cubicBezTo>
                    <a:pt x="152" y="5"/>
                    <a:pt x="157" y="72"/>
                    <a:pt x="167" y="77"/>
                  </a:cubicBezTo>
                  <a:cubicBezTo>
                    <a:pt x="174" y="74"/>
                    <a:pt x="183" y="74"/>
                    <a:pt x="189" y="72"/>
                  </a:cubicBezTo>
                  <a:cubicBezTo>
                    <a:pt x="211" y="74"/>
                    <a:pt x="232" y="77"/>
                    <a:pt x="254" y="79"/>
                  </a:cubicBezTo>
                  <a:cubicBezTo>
                    <a:pt x="277" y="79"/>
                    <a:pt x="299" y="77"/>
                    <a:pt x="321" y="77"/>
                  </a:cubicBezTo>
                  <a:cubicBezTo>
                    <a:pt x="349" y="77"/>
                    <a:pt x="343" y="68"/>
                    <a:pt x="352" y="84"/>
                  </a:cubicBezTo>
                  <a:cubicBezTo>
                    <a:pt x="357" y="109"/>
                    <a:pt x="363" y="114"/>
                    <a:pt x="363" y="142"/>
                  </a:cubicBezTo>
                  <a:lnTo>
                    <a:pt x="6" y="142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Rectangle 3"/>
            <xdr:cNvSpPr>
              <a:spLocks/>
            </xdr:cNvSpPr>
          </xdr:nvSpPr>
          <xdr:spPr>
            <a:xfrm>
              <a:off x="107" y="162"/>
              <a:ext cx="54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Partie A</a:t>
              </a:r>
            </a:p>
          </xdr:txBody>
        </xdr:sp>
        <xdr:sp>
          <xdr:nvSpPr>
            <xdr:cNvPr id="38" name="Rectangle 4"/>
            <xdr:cNvSpPr>
              <a:spLocks/>
            </xdr:cNvSpPr>
          </xdr:nvSpPr>
          <xdr:spPr>
            <a:xfrm>
              <a:off x="337" y="187"/>
              <a:ext cx="54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Partie B</a:t>
              </a:r>
            </a:p>
          </xdr:txBody>
        </xdr:sp>
        <xdr:sp>
          <xdr:nvSpPr>
            <xdr:cNvPr id="39" name="Line 5"/>
            <xdr:cNvSpPr>
              <a:spLocks/>
            </xdr:cNvSpPr>
          </xdr:nvSpPr>
          <xdr:spPr>
            <a:xfrm flipH="1">
              <a:off x="225" y="163"/>
              <a:ext cx="37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Rectangle 6"/>
            <xdr:cNvSpPr>
              <a:spLocks/>
            </xdr:cNvSpPr>
          </xdr:nvSpPr>
          <xdr:spPr>
            <a:xfrm>
              <a:off x="263" y="151"/>
              <a:ext cx="94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MONTERIE</a:t>
              </a:r>
            </a:p>
          </xdr:txBody>
        </xdr:sp>
        <xdr:sp>
          <xdr:nvSpPr>
            <xdr:cNvPr id="41" name="Line 7"/>
            <xdr:cNvSpPr>
              <a:spLocks/>
            </xdr:cNvSpPr>
          </xdr:nvSpPr>
          <xdr:spPr>
            <a:xfrm>
              <a:off x="81" y="242"/>
              <a:ext cx="366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Oval 8"/>
            <xdr:cNvSpPr>
              <a:spLocks noChangeAspect="1"/>
            </xdr:cNvSpPr>
          </xdr:nvSpPr>
          <xdr:spPr>
            <a:xfrm>
              <a:off x="39" y="190"/>
              <a:ext cx="29" cy="25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43" name="Oval 9"/>
            <xdr:cNvSpPr>
              <a:spLocks noChangeAspect="1"/>
            </xdr:cNvSpPr>
          </xdr:nvSpPr>
          <xdr:spPr>
            <a:xfrm>
              <a:off x="294" y="187"/>
              <a:ext cx="28" cy="28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3</a:t>
              </a:r>
            </a:p>
          </xdr:txBody>
        </xdr:sp>
        <xdr:sp>
          <xdr:nvSpPr>
            <xdr:cNvPr id="44" name="Oval 10"/>
            <xdr:cNvSpPr>
              <a:spLocks noChangeAspect="1"/>
            </xdr:cNvSpPr>
          </xdr:nvSpPr>
          <xdr:spPr>
            <a:xfrm>
              <a:off x="48" y="242"/>
              <a:ext cx="31" cy="31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4</a:t>
              </a:r>
            </a:p>
          </xdr:txBody>
        </xdr:sp>
        <xdr:sp>
          <xdr:nvSpPr>
            <xdr:cNvPr id="45" name="Oval 11"/>
            <xdr:cNvSpPr>
              <a:spLocks noChangeAspect="1"/>
            </xdr:cNvSpPr>
          </xdr:nvSpPr>
          <xdr:spPr>
            <a:xfrm>
              <a:off x="140" y="183"/>
              <a:ext cx="26" cy="26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46" name="Polygon 12"/>
            <xdr:cNvSpPr>
              <a:spLocks/>
            </xdr:cNvSpPr>
          </xdr:nvSpPr>
          <xdr:spPr>
            <a:xfrm>
              <a:off x="77" y="185"/>
              <a:ext cx="18" cy="25"/>
            </a:xfrm>
            <a:custGeom>
              <a:pathLst>
                <a:path h="25" w="15">
                  <a:moveTo>
                    <a:pt x="1" y="25"/>
                  </a:moveTo>
                  <a:lnTo>
                    <a:pt x="0" y="1"/>
                  </a:lnTo>
                  <a:lnTo>
                    <a:pt x="13" y="0"/>
                  </a:lnTo>
                  <a:lnTo>
                    <a:pt x="15" y="22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Polygon 13"/>
            <xdr:cNvSpPr>
              <a:spLocks/>
            </xdr:cNvSpPr>
          </xdr:nvSpPr>
          <xdr:spPr>
            <a:xfrm>
              <a:off x="418" y="183"/>
              <a:ext cx="23" cy="33"/>
            </a:xfrm>
            <a:custGeom>
              <a:pathLst>
                <a:path h="27" w="21">
                  <a:moveTo>
                    <a:pt x="15" y="27"/>
                  </a:moveTo>
                  <a:lnTo>
                    <a:pt x="21" y="3"/>
                  </a:lnTo>
                  <a:lnTo>
                    <a:pt x="7" y="0"/>
                  </a:lnTo>
                  <a:lnTo>
                    <a:pt x="0" y="26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Oval 14"/>
            <xdr:cNvSpPr>
              <a:spLocks noChangeAspect="1"/>
            </xdr:cNvSpPr>
          </xdr:nvSpPr>
          <xdr:spPr>
            <a:xfrm>
              <a:off x="446" y="181"/>
              <a:ext cx="24" cy="24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49" name="Line 15"/>
            <xdr:cNvSpPr>
              <a:spLocks/>
            </xdr:cNvSpPr>
          </xdr:nvSpPr>
          <xdr:spPr>
            <a:xfrm>
              <a:off x="81" y="184"/>
              <a:ext cx="1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16"/>
            <xdr:cNvSpPr>
              <a:spLocks/>
            </xdr:cNvSpPr>
          </xdr:nvSpPr>
          <xdr:spPr>
            <a:xfrm flipH="1" flipV="1">
              <a:off x="233" y="184"/>
              <a:ext cx="20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Oval 17"/>
            <xdr:cNvSpPr>
              <a:spLocks noChangeAspect="1"/>
            </xdr:cNvSpPr>
          </xdr:nvSpPr>
          <xdr:spPr>
            <a:xfrm>
              <a:off x="442" y="246"/>
              <a:ext cx="27" cy="24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5</a:t>
              </a:r>
            </a:p>
          </xdr:txBody>
        </xdr:sp>
        <xdr:sp>
          <xdr:nvSpPr>
            <xdr:cNvPr id="52" name="Polygon 18"/>
            <xdr:cNvSpPr>
              <a:spLocks/>
            </xdr:cNvSpPr>
          </xdr:nvSpPr>
          <xdr:spPr>
            <a:xfrm>
              <a:off x="83" y="243"/>
              <a:ext cx="17" cy="27"/>
            </a:xfrm>
            <a:custGeom>
              <a:pathLst>
                <a:path h="27" w="17">
                  <a:moveTo>
                    <a:pt x="17" y="27"/>
                  </a:moveTo>
                  <a:lnTo>
                    <a:pt x="17" y="0"/>
                  </a:lnTo>
                  <a:lnTo>
                    <a:pt x="0" y="0"/>
                  </a:lnTo>
                  <a:lnTo>
                    <a:pt x="0" y="27"/>
                  </a:lnTo>
                </a:path>
              </a:pathLst>
            </a:custGeom>
            <a:pattFill prst="ltHorz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Polygon 19"/>
            <xdr:cNvSpPr>
              <a:spLocks/>
            </xdr:cNvSpPr>
          </xdr:nvSpPr>
          <xdr:spPr>
            <a:xfrm>
              <a:off x="423" y="243"/>
              <a:ext cx="17" cy="27"/>
            </a:xfrm>
            <a:custGeom>
              <a:pathLst>
                <a:path h="27" w="17">
                  <a:moveTo>
                    <a:pt x="17" y="27"/>
                  </a:moveTo>
                  <a:lnTo>
                    <a:pt x="17" y="0"/>
                  </a:lnTo>
                  <a:lnTo>
                    <a:pt x="0" y="0"/>
                  </a:lnTo>
                  <a:lnTo>
                    <a:pt x="0" y="27"/>
                  </a:lnTo>
                </a:path>
              </a:pathLst>
            </a:custGeom>
            <a:pattFill prst="ltHorz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4" name="TextBox 73"/>
          <xdr:cNvSpPr txBox="1">
            <a:spLocks noChangeArrowheads="1"/>
          </xdr:cNvSpPr>
        </xdr:nvSpPr>
        <xdr:spPr>
          <a:xfrm>
            <a:off x="31" y="97"/>
            <a:ext cx="492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Étapes typiques de minage par trous verticaux</a:t>
            </a:r>
          </a:p>
        </xdr:txBody>
      </xdr:sp>
    </xdr:grpSp>
    <xdr:clientData/>
  </xdr:twoCellAnchor>
  <xdr:twoCellAnchor>
    <xdr:from>
      <xdr:col>0</xdr:col>
      <xdr:colOff>752475</xdr:colOff>
      <xdr:row>38</xdr:row>
      <xdr:rowOff>133350</xdr:rowOff>
    </xdr:from>
    <xdr:to>
      <xdr:col>5</xdr:col>
      <xdr:colOff>447675</xdr:colOff>
      <xdr:row>59</xdr:row>
      <xdr:rowOff>19050</xdr:rowOff>
    </xdr:to>
    <xdr:grpSp>
      <xdr:nvGrpSpPr>
        <xdr:cNvPr id="55" name="Group 231"/>
        <xdr:cNvGrpSpPr>
          <a:grpSpLocks/>
        </xdr:cNvGrpSpPr>
      </xdr:nvGrpSpPr>
      <xdr:grpSpPr>
        <a:xfrm>
          <a:off x="752475" y="6334125"/>
          <a:ext cx="3505200" cy="3286125"/>
          <a:chOff x="79" y="665"/>
          <a:chExt cx="368" cy="345"/>
        </a:xfrm>
        <a:solidFill>
          <a:srgbClr val="FFFFFF"/>
        </a:solidFill>
      </xdr:grpSpPr>
      <xdr:sp>
        <xdr:nvSpPr>
          <xdr:cNvPr id="56" name="Polygon 82"/>
          <xdr:cNvSpPr>
            <a:spLocks/>
          </xdr:cNvSpPr>
        </xdr:nvSpPr>
        <xdr:spPr>
          <a:xfrm>
            <a:off x="80" y="905"/>
            <a:ext cx="367" cy="67"/>
          </a:xfrm>
          <a:custGeom>
            <a:pathLst>
              <a:path h="67" w="367">
                <a:moveTo>
                  <a:pt x="0" y="67"/>
                </a:moveTo>
                <a:lnTo>
                  <a:pt x="0" y="0"/>
                </a:lnTo>
                <a:lnTo>
                  <a:pt x="367" y="0"/>
                </a:lnTo>
                <a:lnTo>
                  <a:pt x="367" y="67"/>
                </a:lnTo>
                <a:lnTo>
                  <a:pt x="0" y="6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83"/>
          <xdr:cNvSpPr>
            <a:spLocks/>
          </xdr:cNvSpPr>
        </xdr:nvSpPr>
        <xdr:spPr>
          <a:xfrm>
            <a:off x="305" y="752"/>
            <a:ext cx="94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MONTERIE</a:t>
            </a:r>
          </a:p>
        </xdr:txBody>
      </xdr:sp>
      <xdr:sp>
        <xdr:nvSpPr>
          <xdr:cNvPr id="58" name="Line 84"/>
          <xdr:cNvSpPr>
            <a:spLocks/>
          </xdr:cNvSpPr>
        </xdr:nvSpPr>
        <xdr:spPr>
          <a:xfrm>
            <a:off x="79" y="920"/>
            <a:ext cx="36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88"/>
          <xdr:cNvSpPr>
            <a:spLocks noChangeAspect="1"/>
          </xdr:cNvSpPr>
        </xdr:nvSpPr>
        <xdr:spPr>
          <a:xfrm>
            <a:off x="268" y="858"/>
            <a:ext cx="24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60" name="AutoShape 92"/>
          <xdr:cNvSpPr>
            <a:spLocks/>
          </xdr:cNvSpPr>
        </xdr:nvSpPr>
        <xdr:spPr>
          <a:xfrm>
            <a:off x="80" y="883"/>
            <a:ext cx="366" cy="25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106"/>
          <xdr:cNvSpPr>
            <a:spLocks/>
          </xdr:cNvSpPr>
        </xdr:nvSpPr>
        <xdr:spPr>
          <a:xfrm flipH="1">
            <a:off x="271" y="762"/>
            <a:ext cx="2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Box 107"/>
          <xdr:cNvSpPr txBox="1">
            <a:spLocks noChangeArrowheads="1"/>
          </xdr:cNvSpPr>
        </xdr:nvSpPr>
        <xdr:spPr>
          <a:xfrm>
            <a:off x="151" y="926"/>
            <a:ext cx="227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niveau du minerai cassé avant l'étape 1</a:t>
            </a:r>
          </a:p>
        </xdr:txBody>
      </xdr:sp>
      <xdr:sp>
        <xdr:nvSpPr>
          <xdr:cNvPr id="63" name="TextBox 108"/>
          <xdr:cNvSpPr txBox="1">
            <a:spLocks noChangeArrowheads="1"/>
          </xdr:cNvSpPr>
        </xdr:nvSpPr>
        <xdr:spPr>
          <a:xfrm>
            <a:off x="133" y="665"/>
            <a:ext cx="249" cy="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Monterie centrale</a:t>
            </a:r>
            <a:r>
              <a:rPr lang="en-US" cap="none" sz="18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(trous horizontaux)</a:t>
            </a:r>
          </a:p>
        </xdr:txBody>
      </xdr:sp>
      <xdr:sp>
        <xdr:nvSpPr>
          <xdr:cNvPr id="64" name="Rectangle 113"/>
          <xdr:cNvSpPr>
            <a:spLocks/>
          </xdr:cNvSpPr>
        </xdr:nvSpPr>
        <xdr:spPr>
          <a:xfrm>
            <a:off x="265" y="883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14"/>
          <xdr:cNvSpPr>
            <a:spLocks/>
          </xdr:cNvSpPr>
        </xdr:nvSpPr>
        <xdr:spPr>
          <a:xfrm>
            <a:off x="217" y="883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Polygon 109"/>
          <xdr:cNvSpPr>
            <a:spLocks/>
          </xdr:cNvSpPr>
        </xdr:nvSpPr>
        <xdr:spPr>
          <a:xfrm>
            <a:off x="244" y="737"/>
            <a:ext cx="21" cy="168"/>
          </a:xfrm>
          <a:custGeom>
            <a:pathLst>
              <a:path h="207" w="21">
                <a:moveTo>
                  <a:pt x="21" y="207"/>
                </a:moveTo>
                <a:lnTo>
                  <a:pt x="21" y="0"/>
                </a:lnTo>
                <a:lnTo>
                  <a:pt x="0" y="0"/>
                </a:lnTo>
                <a:lnTo>
                  <a:pt x="0" y="207"/>
                </a:lnTo>
                <a:lnTo>
                  <a:pt x="21" y="20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115"/>
          <xdr:cNvSpPr>
            <a:spLocks noChangeAspect="1"/>
          </xdr:cNvSpPr>
        </xdr:nvSpPr>
        <xdr:spPr>
          <a:xfrm>
            <a:off x="218" y="857"/>
            <a:ext cx="24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68" name="Rectangle 116"/>
          <xdr:cNvSpPr>
            <a:spLocks/>
          </xdr:cNvSpPr>
        </xdr:nvSpPr>
        <xdr:spPr>
          <a:xfrm>
            <a:off x="190" y="883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17"/>
          <xdr:cNvSpPr>
            <a:spLocks/>
          </xdr:cNvSpPr>
        </xdr:nvSpPr>
        <xdr:spPr>
          <a:xfrm>
            <a:off x="292" y="883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118"/>
          <xdr:cNvSpPr>
            <a:spLocks noChangeAspect="1"/>
          </xdr:cNvSpPr>
        </xdr:nvSpPr>
        <xdr:spPr>
          <a:xfrm>
            <a:off x="191" y="858"/>
            <a:ext cx="24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71" name="Oval 119"/>
          <xdr:cNvSpPr>
            <a:spLocks noChangeAspect="1"/>
          </xdr:cNvSpPr>
        </xdr:nvSpPr>
        <xdr:spPr>
          <a:xfrm>
            <a:off x="297" y="858"/>
            <a:ext cx="24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72" name="Line 120"/>
          <xdr:cNvSpPr>
            <a:spLocks/>
          </xdr:cNvSpPr>
        </xdr:nvSpPr>
        <xdr:spPr>
          <a:xfrm>
            <a:off x="81" y="985"/>
            <a:ext cx="3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TextBox 121"/>
          <xdr:cNvSpPr txBox="1">
            <a:spLocks noChangeArrowheads="1"/>
          </xdr:cNvSpPr>
        </xdr:nvSpPr>
        <xdr:spPr>
          <a:xfrm>
            <a:off x="175" y="989"/>
            <a:ext cx="20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 environ 50 m de longueur</a:t>
            </a:r>
          </a:p>
        </xdr:txBody>
      </xdr:sp>
    </xdr:grpSp>
    <xdr:clientData/>
  </xdr:twoCellAnchor>
  <xdr:twoCellAnchor>
    <xdr:from>
      <xdr:col>0</xdr:col>
      <xdr:colOff>295275</xdr:colOff>
      <xdr:row>63</xdr:row>
      <xdr:rowOff>28575</xdr:rowOff>
    </xdr:from>
    <xdr:to>
      <xdr:col>6</xdr:col>
      <xdr:colOff>571500</xdr:colOff>
      <xdr:row>73</xdr:row>
      <xdr:rowOff>76200</xdr:rowOff>
    </xdr:to>
    <xdr:grpSp>
      <xdr:nvGrpSpPr>
        <xdr:cNvPr id="74" name="Group 227"/>
        <xdr:cNvGrpSpPr>
          <a:grpSpLocks/>
        </xdr:cNvGrpSpPr>
      </xdr:nvGrpSpPr>
      <xdr:grpSpPr>
        <a:xfrm>
          <a:off x="295275" y="10287000"/>
          <a:ext cx="4848225" cy="1666875"/>
          <a:chOff x="31" y="1080"/>
          <a:chExt cx="509" cy="175"/>
        </a:xfrm>
        <a:solidFill>
          <a:srgbClr val="FFFFFF"/>
        </a:solidFill>
      </xdr:grpSpPr>
      <xdr:sp>
        <xdr:nvSpPr>
          <xdr:cNvPr id="75" name="Rectangle 169"/>
          <xdr:cNvSpPr>
            <a:spLocks/>
          </xdr:cNvSpPr>
        </xdr:nvSpPr>
        <xdr:spPr>
          <a:xfrm>
            <a:off x="79" y="1179"/>
            <a:ext cx="368" cy="2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66"/>
          <xdr:cNvSpPr>
            <a:spLocks/>
          </xdr:cNvSpPr>
        </xdr:nvSpPr>
        <xdr:spPr>
          <a:xfrm>
            <a:off x="79" y="1201"/>
            <a:ext cx="368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47"/>
          <xdr:cNvSpPr>
            <a:spLocks/>
          </xdr:cNvSpPr>
        </xdr:nvSpPr>
        <xdr:spPr>
          <a:xfrm>
            <a:off x="107" y="1158"/>
            <a:ext cx="54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Partie A</a:t>
            </a:r>
          </a:p>
        </xdr:txBody>
      </xdr:sp>
      <xdr:sp>
        <xdr:nvSpPr>
          <xdr:cNvPr id="78" name="Rectangle 148"/>
          <xdr:cNvSpPr>
            <a:spLocks/>
          </xdr:cNvSpPr>
        </xdr:nvSpPr>
        <xdr:spPr>
          <a:xfrm>
            <a:off x="334" y="1156"/>
            <a:ext cx="54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Partie B</a:t>
            </a:r>
          </a:p>
        </xdr:txBody>
      </xdr:sp>
      <xdr:sp>
        <xdr:nvSpPr>
          <xdr:cNvPr id="79" name="Line 149"/>
          <xdr:cNvSpPr>
            <a:spLocks/>
          </xdr:cNvSpPr>
        </xdr:nvSpPr>
        <xdr:spPr>
          <a:xfrm flipH="1">
            <a:off x="245" y="1140"/>
            <a:ext cx="6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50"/>
          <xdr:cNvSpPr>
            <a:spLocks/>
          </xdr:cNvSpPr>
        </xdr:nvSpPr>
        <xdr:spPr>
          <a:xfrm>
            <a:off x="307" y="1126"/>
            <a:ext cx="94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MONTERIE</a:t>
            </a:r>
          </a:p>
        </xdr:txBody>
      </xdr:sp>
      <xdr:sp>
        <xdr:nvSpPr>
          <xdr:cNvPr id="81" name="Line 151"/>
          <xdr:cNvSpPr>
            <a:spLocks/>
          </xdr:cNvSpPr>
        </xdr:nvSpPr>
        <xdr:spPr>
          <a:xfrm>
            <a:off x="81" y="1225"/>
            <a:ext cx="36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Oval 152"/>
          <xdr:cNvSpPr>
            <a:spLocks noChangeAspect="1"/>
          </xdr:cNvSpPr>
        </xdr:nvSpPr>
        <xdr:spPr>
          <a:xfrm>
            <a:off x="201" y="1177"/>
            <a:ext cx="29" cy="25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83" name="Oval 153"/>
          <xdr:cNvSpPr>
            <a:spLocks noChangeAspect="1"/>
          </xdr:cNvSpPr>
        </xdr:nvSpPr>
        <xdr:spPr>
          <a:xfrm>
            <a:off x="311" y="1175"/>
            <a:ext cx="28" cy="2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84" name="Oval 154"/>
          <xdr:cNvSpPr>
            <a:spLocks noChangeAspect="1"/>
          </xdr:cNvSpPr>
        </xdr:nvSpPr>
        <xdr:spPr>
          <a:xfrm>
            <a:off x="442" y="1194"/>
            <a:ext cx="29" cy="29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85" name="Oval 155"/>
          <xdr:cNvSpPr>
            <a:spLocks noChangeAspect="1"/>
          </xdr:cNvSpPr>
        </xdr:nvSpPr>
        <xdr:spPr>
          <a:xfrm>
            <a:off x="47" y="1199"/>
            <a:ext cx="30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86" name="Polygon 162"/>
          <xdr:cNvSpPr>
            <a:spLocks/>
          </xdr:cNvSpPr>
        </xdr:nvSpPr>
        <xdr:spPr>
          <a:xfrm>
            <a:off x="83" y="1226"/>
            <a:ext cx="17" cy="27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Polygon 163"/>
          <xdr:cNvSpPr>
            <a:spLocks/>
          </xdr:cNvSpPr>
        </xdr:nvSpPr>
        <xdr:spPr>
          <a:xfrm>
            <a:off x="423" y="1226"/>
            <a:ext cx="17" cy="27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TextBox 164"/>
          <xdr:cNvSpPr txBox="1">
            <a:spLocks noChangeArrowheads="1"/>
          </xdr:cNvSpPr>
        </xdr:nvSpPr>
        <xdr:spPr>
          <a:xfrm>
            <a:off x="31" y="1080"/>
            <a:ext cx="509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Étapes typiques de minage par trous horizontaux</a:t>
            </a:r>
          </a:p>
        </xdr:txBody>
      </xdr:sp>
      <xdr:sp>
        <xdr:nvSpPr>
          <xdr:cNvPr id="89" name="Polygon 168"/>
          <xdr:cNvSpPr>
            <a:spLocks/>
          </xdr:cNvSpPr>
        </xdr:nvSpPr>
        <xdr:spPr>
          <a:xfrm>
            <a:off x="222" y="1129"/>
            <a:ext cx="37" cy="72"/>
          </a:xfrm>
          <a:custGeom>
            <a:pathLst>
              <a:path h="72" w="37">
                <a:moveTo>
                  <a:pt x="0" y="0"/>
                </a:moveTo>
                <a:lnTo>
                  <a:pt x="17" y="0"/>
                </a:lnTo>
                <a:lnTo>
                  <a:pt x="37" y="72"/>
                </a:lnTo>
                <a:lnTo>
                  <a:pt x="21" y="7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Polygon 171"/>
          <xdr:cNvSpPr>
            <a:spLocks/>
          </xdr:cNvSpPr>
        </xdr:nvSpPr>
        <xdr:spPr>
          <a:xfrm>
            <a:off x="423" y="1200"/>
            <a:ext cx="17" cy="27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Polygon 172"/>
          <xdr:cNvSpPr>
            <a:spLocks/>
          </xdr:cNvSpPr>
        </xdr:nvSpPr>
        <xdr:spPr>
          <a:xfrm>
            <a:off x="83" y="1199"/>
            <a:ext cx="17" cy="27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1"/>
  <sheetViews>
    <sheetView tabSelected="1" zoomScale="75" zoomScaleNormal="75" workbookViewId="0" topLeftCell="D92">
      <selection activeCell="M113" sqref="M113"/>
    </sheetView>
  </sheetViews>
  <sheetFormatPr defaultColWidth="9.140625" defaultRowHeight="12.75"/>
  <cols>
    <col min="1" max="1" width="25.8515625" style="0" customWidth="1"/>
    <col min="2" max="2" width="16.57421875" style="0" customWidth="1"/>
    <col min="3" max="4" width="12.57421875" style="0" customWidth="1"/>
    <col min="5" max="5" width="14.7109375" style="0" customWidth="1"/>
    <col min="6" max="6" width="16.00390625" style="0" customWidth="1"/>
    <col min="7" max="7" width="13.140625" style="0" customWidth="1"/>
    <col min="8" max="8" width="20.140625" style="0" customWidth="1"/>
    <col min="9" max="9" width="12.7109375" style="0" customWidth="1"/>
    <col min="10" max="10" width="11.140625" style="0" customWidth="1"/>
    <col min="11" max="11" width="13.28125" style="0" customWidth="1"/>
    <col min="12" max="16384" width="11.421875" style="0" customWidth="1"/>
  </cols>
  <sheetData>
    <row r="2" ht="36.75">
      <c r="A2" s="1" t="s">
        <v>59</v>
      </c>
    </row>
    <row r="3" spans="1:2" ht="36.75">
      <c r="A3" s="1" t="s">
        <v>92</v>
      </c>
      <c r="B3" s="1"/>
    </row>
    <row r="4" spans="1:9" ht="18.75" customHeight="1" thickBot="1">
      <c r="A4" s="1"/>
      <c r="B4" s="1"/>
      <c r="I4" s="23" t="s">
        <v>273</v>
      </c>
    </row>
    <row r="5" spans="1:11" ht="13.5" thickTop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2" ht="22.5" customHeight="1">
      <c r="A8" s="55" t="s">
        <v>60</v>
      </c>
      <c r="B8" s="21"/>
    </row>
    <row r="9" spans="1:2" ht="9.75" customHeight="1" thickBot="1">
      <c r="A9" s="21"/>
      <c r="B9" s="21"/>
    </row>
    <row r="10" spans="1:11" ht="18" customHeight="1">
      <c r="A10" s="21"/>
      <c r="B10" s="21"/>
      <c r="C10" s="312" t="s">
        <v>93</v>
      </c>
      <c r="D10" s="314" t="s">
        <v>98</v>
      </c>
      <c r="E10" s="316" t="s">
        <v>66</v>
      </c>
      <c r="H10" s="318" t="s">
        <v>23</v>
      </c>
      <c r="I10" s="319"/>
      <c r="J10" s="319"/>
      <c r="K10" s="320"/>
    </row>
    <row r="11" spans="1:11" ht="11.25" customHeight="1" thickBot="1">
      <c r="A11" s="21"/>
      <c r="B11" s="21"/>
      <c r="C11" s="313"/>
      <c r="D11" s="315"/>
      <c r="E11" s="317"/>
      <c r="H11" s="321"/>
      <c r="I11" s="322"/>
      <c r="J11" s="322"/>
      <c r="K11" s="323"/>
    </row>
    <row r="12" spans="1:11" ht="15" customHeight="1">
      <c r="A12" s="25" t="s">
        <v>61</v>
      </c>
      <c r="B12" s="25"/>
      <c r="C12" s="181">
        <v>2</v>
      </c>
      <c r="D12" s="181">
        <v>10</v>
      </c>
      <c r="E12" s="26">
        <f>+D12*C12</f>
        <v>20</v>
      </c>
      <c r="H12" s="65"/>
      <c r="I12" s="66"/>
      <c r="J12" s="66"/>
      <c r="K12" s="67"/>
    </row>
    <row r="13" spans="1:11" ht="15" customHeight="1">
      <c r="A13" s="25" t="s">
        <v>94</v>
      </c>
      <c r="B13" s="25"/>
      <c r="C13" s="181">
        <v>2</v>
      </c>
      <c r="D13" s="181">
        <v>2</v>
      </c>
      <c r="E13" s="26">
        <f>+D13*C13</f>
        <v>4</v>
      </c>
      <c r="H13" s="68" t="s">
        <v>228</v>
      </c>
      <c r="I13" s="69"/>
      <c r="J13" s="69"/>
      <c r="K13" s="70"/>
    </row>
    <row r="14" spans="1:11" ht="15" customHeight="1">
      <c r="A14" s="25" t="s">
        <v>95</v>
      </c>
      <c r="B14" s="25"/>
      <c r="C14" s="181">
        <v>1</v>
      </c>
      <c r="D14" s="181">
        <v>10</v>
      </c>
      <c r="E14" s="26">
        <f aca="true" t="shared" si="0" ref="E14:E20">+D14*C14</f>
        <v>10</v>
      </c>
      <c r="F14" s="3"/>
      <c r="H14" s="68"/>
      <c r="I14" s="69"/>
      <c r="J14" s="69"/>
      <c r="K14" s="70"/>
    </row>
    <row r="15" spans="1:11" ht="15" customHeight="1">
      <c r="A15" s="25" t="s">
        <v>62</v>
      </c>
      <c r="B15" s="25"/>
      <c r="C15" s="181">
        <v>2</v>
      </c>
      <c r="D15" s="181">
        <v>10</v>
      </c>
      <c r="E15" s="26">
        <f t="shared" si="0"/>
        <v>20</v>
      </c>
      <c r="H15" s="68" t="s">
        <v>229</v>
      </c>
      <c r="I15" s="69"/>
      <c r="J15" s="69"/>
      <c r="K15" s="70"/>
    </row>
    <row r="16" spans="1:11" ht="15" customHeight="1">
      <c r="A16" s="25" t="s">
        <v>63</v>
      </c>
      <c r="B16" s="25"/>
      <c r="C16" s="181">
        <v>1</v>
      </c>
      <c r="D16" s="181">
        <v>15</v>
      </c>
      <c r="E16" s="26">
        <f t="shared" si="0"/>
        <v>15</v>
      </c>
      <c r="H16" s="68" t="s">
        <v>230</v>
      </c>
      <c r="I16" s="69"/>
      <c r="J16" s="69"/>
      <c r="K16" s="70"/>
    </row>
    <row r="17" spans="1:11" ht="15" customHeight="1">
      <c r="A17" s="25" t="s">
        <v>64</v>
      </c>
      <c r="B17" s="25"/>
      <c r="C17" s="181">
        <v>1</v>
      </c>
      <c r="D17" s="181">
        <v>10</v>
      </c>
      <c r="E17" s="26">
        <f t="shared" si="0"/>
        <v>10</v>
      </c>
      <c r="H17" s="68"/>
      <c r="I17" s="69"/>
      <c r="J17" s="69"/>
      <c r="K17" s="70"/>
    </row>
    <row r="18" spans="1:11" ht="15" customHeight="1">
      <c r="A18" s="25" t="s">
        <v>96</v>
      </c>
      <c r="B18" s="25"/>
      <c r="C18" s="181">
        <v>1</v>
      </c>
      <c r="D18" s="181">
        <v>12</v>
      </c>
      <c r="E18" s="26">
        <f t="shared" si="0"/>
        <v>12</v>
      </c>
      <c r="H18" s="68"/>
      <c r="I18" s="69"/>
      <c r="J18" s="69"/>
      <c r="K18" s="70"/>
    </row>
    <row r="19" spans="1:11" ht="15" customHeight="1">
      <c r="A19" s="25" t="s">
        <v>0</v>
      </c>
      <c r="B19" s="25"/>
      <c r="C19" s="181">
        <v>1</v>
      </c>
      <c r="D19" s="181">
        <v>30</v>
      </c>
      <c r="E19" s="26">
        <f t="shared" si="0"/>
        <v>30</v>
      </c>
      <c r="H19" s="68"/>
      <c r="I19" s="69"/>
      <c r="J19" s="69"/>
      <c r="K19" s="70"/>
    </row>
    <row r="20" spans="1:11" ht="15" customHeight="1" thickBot="1">
      <c r="A20" s="182" t="s">
        <v>65</v>
      </c>
      <c r="B20" s="182"/>
      <c r="C20" s="181">
        <v>1</v>
      </c>
      <c r="D20" s="181">
        <v>10</v>
      </c>
      <c r="E20" s="27">
        <f t="shared" si="0"/>
        <v>10</v>
      </c>
      <c r="H20" s="68"/>
      <c r="I20" s="69"/>
      <c r="J20" s="69"/>
      <c r="K20" s="70"/>
    </row>
    <row r="21" spans="1:11" ht="15.75" thickBot="1">
      <c r="A21" s="22"/>
      <c r="B21" s="22"/>
      <c r="C21" s="22"/>
      <c r="D21" s="22"/>
      <c r="E21" s="28">
        <f>SUM(E12:E20)</f>
        <v>131</v>
      </c>
      <c r="F21" s="23" t="s">
        <v>24</v>
      </c>
      <c r="H21" s="71"/>
      <c r="I21" s="72"/>
      <c r="J21" s="72"/>
      <c r="K21" s="73"/>
    </row>
    <row r="22" spans="1:6" ht="14.25">
      <c r="A22" s="22"/>
      <c r="B22" s="22"/>
      <c r="C22" s="22"/>
      <c r="D22" s="22"/>
      <c r="E22" s="29">
        <f>+E21/60</f>
        <v>2.183333333333333</v>
      </c>
      <c r="F22" s="23" t="s">
        <v>1</v>
      </c>
    </row>
    <row r="23" spans="1:11" ht="15" thickBot="1">
      <c r="A23" s="108"/>
      <c r="B23" s="108"/>
      <c r="C23" s="108"/>
      <c r="D23" s="108"/>
      <c r="E23" s="108"/>
      <c r="F23" s="12"/>
      <c r="G23" s="12"/>
      <c r="H23" s="12"/>
      <c r="I23" s="12"/>
      <c r="J23" s="12"/>
      <c r="K23" s="12"/>
    </row>
    <row r="24" spans="1:4" ht="12.75">
      <c r="A24" s="4"/>
      <c r="B24" s="4"/>
      <c r="C24" s="4"/>
      <c r="D24" s="4"/>
    </row>
    <row r="25" spans="1:5" ht="23.25">
      <c r="A25" s="55" t="s">
        <v>97</v>
      </c>
      <c r="B25" s="21"/>
      <c r="C25" s="4"/>
      <c r="D25" s="4"/>
      <c r="E25" s="4"/>
    </row>
    <row r="26" spans="1:5" ht="18.75" customHeight="1" thickBot="1">
      <c r="A26" s="21"/>
      <c r="B26" s="21"/>
      <c r="C26" s="4"/>
      <c r="D26" s="4"/>
      <c r="E26" s="4"/>
    </row>
    <row r="27" spans="1:11" ht="18" customHeight="1">
      <c r="A27" s="20" t="s">
        <v>22</v>
      </c>
      <c r="C27" s="312" t="s">
        <v>93</v>
      </c>
      <c r="D27" s="314" t="s">
        <v>98</v>
      </c>
      <c r="E27" s="316" t="s">
        <v>66</v>
      </c>
      <c r="G27" s="21"/>
      <c r="H27" s="21"/>
      <c r="I27" s="312" t="s">
        <v>93</v>
      </c>
      <c r="J27" s="314" t="s">
        <v>98</v>
      </c>
      <c r="K27" s="316" t="s">
        <v>66</v>
      </c>
    </row>
    <row r="28" spans="1:11" ht="18" customHeight="1" thickBot="1">
      <c r="A28" s="20" t="s">
        <v>18</v>
      </c>
      <c r="C28" s="313"/>
      <c r="D28" s="315"/>
      <c r="E28" s="317"/>
      <c r="G28" s="198" t="s">
        <v>187</v>
      </c>
      <c r="H28" s="32"/>
      <c r="I28" s="313"/>
      <c r="J28" s="315"/>
      <c r="K28" s="317"/>
    </row>
    <row r="29" spans="1:12" ht="15.75" customHeight="1">
      <c r="A29" s="25" t="s">
        <v>112</v>
      </c>
      <c r="B29" s="23"/>
      <c r="C29" s="183">
        <v>1</v>
      </c>
      <c r="D29" s="183">
        <v>10</v>
      </c>
      <c r="E29" s="26">
        <f>+D29*C29</f>
        <v>10</v>
      </c>
      <c r="F29" s="23"/>
      <c r="G29" s="197" t="s">
        <v>104</v>
      </c>
      <c r="H29" s="25"/>
      <c r="I29" s="183">
        <v>1</v>
      </c>
      <c r="J29" s="183">
        <v>5</v>
      </c>
      <c r="K29" s="26">
        <f aca="true" t="shared" si="1" ref="K29:K35">+J29*I29</f>
        <v>5</v>
      </c>
      <c r="L29" s="23"/>
    </row>
    <row r="30" spans="1:12" ht="15.75" customHeight="1">
      <c r="A30" s="25" t="s">
        <v>113</v>
      </c>
      <c r="B30" s="23"/>
      <c r="C30" s="183"/>
      <c r="D30" s="183"/>
      <c r="E30" s="26">
        <f>+D30*C30</f>
        <v>0</v>
      </c>
      <c r="F30" s="23"/>
      <c r="G30" s="197" t="s">
        <v>105</v>
      </c>
      <c r="H30" s="25"/>
      <c r="I30" s="183">
        <v>1</v>
      </c>
      <c r="J30" s="183">
        <v>6</v>
      </c>
      <c r="K30" s="26">
        <f t="shared" si="1"/>
        <v>6</v>
      </c>
      <c r="L30" s="23"/>
    </row>
    <row r="31" spans="1:12" ht="15.75" customHeight="1">
      <c r="A31" s="25" t="s">
        <v>81</v>
      </c>
      <c r="C31" s="183">
        <v>1</v>
      </c>
      <c r="D31" s="183">
        <v>5</v>
      </c>
      <c r="E31" s="26">
        <f>+D31*C31</f>
        <v>5</v>
      </c>
      <c r="F31" s="23"/>
      <c r="G31" s="197" t="s">
        <v>106</v>
      </c>
      <c r="H31" s="25"/>
      <c r="I31" s="183">
        <f>+I30</f>
        <v>1</v>
      </c>
      <c r="J31" s="183">
        <v>5</v>
      </c>
      <c r="K31" s="26">
        <f t="shared" si="1"/>
        <v>5</v>
      </c>
      <c r="L31" s="23"/>
    </row>
    <row r="32" spans="1:11" ht="15.75" customHeight="1" thickBot="1">
      <c r="A32" s="184"/>
      <c r="B32" s="185"/>
      <c r="C32" s="183"/>
      <c r="D32" s="183"/>
      <c r="E32" s="26">
        <f>+D32*C32</f>
        <v>0</v>
      </c>
      <c r="F32" s="23"/>
      <c r="G32" s="197" t="s">
        <v>107</v>
      </c>
      <c r="H32" s="25"/>
      <c r="I32" s="183"/>
      <c r="J32" s="183"/>
      <c r="K32" s="26">
        <f t="shared" si="1"/>
        <v>0</v>
      </c>
    </row>
    <row r="33" spans="1:11" ht="15.75" customHeight="1" thickBot="1">
      <c r="A33" s="30"/>
      <c r="B33" s="23"/>
      <c r="C33" s="22"/>
      <c r="D33" s="36" t="s">
        <v>102</v>
      </c>
      <c r="E33" s="28">
        <f>SUM(E29:E32)</f>
        <v>15</v>
      </c>
      <c r="F33" s="23"/>
      <c r="G33" s="197" t="s">
        <v>68</v>
      </c>
      <c r="H33" s="25"/>
      <c r="I33" s="183">
        <v>1</v>
      </c>
      <c r="J33" s="183">
        <v>8</v>
      </c>
      <c r="K33" s="26">
        <f t="shared" si="1"/>
        <v>8</v>
      </c>
    </row>
    <row r="34" spans="2:11" ht="15.75" customHeight="1">
      <c r="B34" s="23"/>
      <c r="C34" s="23"/>
      <c r="D34" s="36" t="s">
        <v>67</v>
      </c>
      <c r="E34" s="29">
        <f>+E33/60</f>
        <v>0.25</v>
      </c>
      <c r="F34" s="23"/>
      <c r="G34" s="197" t="s">
        <v>69</v>
      </c>
      <c r="H34" s="25"/>
      <c r="I34" s="183">
        <v>1</v>
      </c>
      <c r="J34" s="183">
        <v>5</v>
      </c>
      <c r="K34" s="26">
        <f t="shared" si="1"/>
        <v>5</v>
      </c>
    </row>
    <row r="35" spans="6:11" ht="15.75" customHeight="1" thickBot="1">
      <c r="F35" s="23"/>
      <c r="G35" s="197" t="s">
        <v>111</v>
      </c>
      <c r="H35" s="25"/>
      <c r="I35" s="183">
        <v>1</v>
      </c>
      <c r="J35" s="183">
        <v>5</v>
      </c>
      <c r="K35" s="26">
        <f t="shared" si="1"/>
        <v>5</v>
      </c>
    </row>
    <row r="36" spans="3:11" ht="15.75" customHeight="1">
      <c r="C36" s="312" t="s">
        <v>93</v>
      </c>
      <c r="D36" s="314" t="s">
        <v>98</v>
      </c>
      <c r="E36" s="316" t="s">
        <v>66</v>
      </c>
      <c r="F36" s="23"/>
      <c r="G36" s="197" t="s">
        <v>108</v>
      </c>
      <c r="H36" s="25"/>
      <c r="I36" s="183">
        <v>1</v>
      </c>
      <c r="J36" s="183">
        <v>8</v>
      </c>
      <c r="K36" s="26">
        <f>+J36*I36</f>
        <v>8</v>
      </c>
    </row>
    <row r="37" spans="1:12" ht="18" customHeight="1" thickBot="1">
      <c r="A37" s="38" t="s">
        <v>21</v>
      </c>
      <c r="B37" s="4"/>
      <c r="C37" s="313"/>
      <c r="D37" s="315"/>
      <c r="E37" s="317"/>
      <c r="F37" s="23"/>
      <c r="G37" s="250" t="s">
        <v>246</v>
      </c>
      <c r="J37" s="183"/>
      <c r="K37" s="26">
        <f>+J37</f>
        <v>0</v>
      </c>
      <c r="L37" s="23"/>
    </row>
    <row r="38" spans="1:12" ht="15.75" customHeight="1">
      <c r="A38" s="25" t="s">
        <v>70</v>
      </c>
      <c r="B38" s="23"/>
      <c r="C38" s="183">
        <v>1</v>
      </c>
      <c r="D38" s="183">
        <v>5</v>
      </c>
      <c r="E38" s="26">
        <f>+D38*C38</f>
        <v>5</v>
      </c>
      <c r="F38" s="23"/>
      <c r="G38" s="182"/>
      <c r="H38" s="182"/>
      <c r="I38" s="183"/>
      <c r="J38" s="183"/>
      <c r="K38" s="26">
        <f>+J38*I38</f>
        <v>0</v>
      </c>
      <c r="L38" s="23"/>
    </row>
    <row r="39" spans="1:12" ht="15.75" customHeight="1" thickBot="1">
      <c r="A39" s="25" t="s">
        <v>114</v>
      </c>
      <c r="B39" s="23"/>
      <c r="C39" s="183">
        <v>1</v>
      </c>
      <c r="D39" s="183">
        <v>5</v>
      </c>
      <c r="E39" s="26">
        <f>+D39*C39</f>
        <v>5</v>
      </c>
      <c r="F39" s="23"/>
      <c r="G39" s="182"/>
      <c r="H39" s="182"/>
      <c r="I39" s="183"/>
      <c r="J39" s="183"/>
      <c r="K39" s="26">
        <f>+J39*I39</f>
        <v>0</v>
      </c>
      <c r="L39" s="23"/>
    </row>
    <row r="40" spans="1:11" ht="15.75" customHeight="1" thickBot="1">
      <c r="A40" s="184"/>
      <c r="B40" s="185"/>
      <c r="C40" s="183"/>
      <c r="D40" s="183"/>
      <c r="E40" s="26">
        <f>+D40*C40</f>
        <v>0</v>
      </c>
      <c r="G40" s="30"/>
      <c r="H40" s="30"/>
      <c r="I40" s="22"/>
      <c r="J40" s="36" t="s">
        <v>103</v>
      </c>
      <c r="K40" s="28">
        <f>SUM(K29:K39)</f>
        <v>42</v>
      </c>
    </row>
    <row r="41" spans="1:11" ht="15.75" customHeight="1" thickBot="1">
      <c r="A41" s="23"/>
      <c r="B41" s="23"/>
      <c r="C41" s="23"/>
      <c r="D41" s="36" t="s">
        <v>102</v>
      </c>
      <c r="E41" s="28">
        <f>SUM(E38:E40)</f>
        <v>10</v>
      </c>
      <c r="G41" s="30"/>
      <c r="H41" s="30"/>
      <c r="I41" s="22"/>
      <c r="J41" s="36" t="s">
        <v>71</v>
      </c>
      <c r="K41" s="29">
        <f>+K40/60</f>
        <v>0.7</v>
      </c>
    </row>
    <row r="42" spans="1:11" ht="15.75" customHeight="1" thickBot="1">
      <c r="A42" s="108"/>
      <c r="B42" s="108"/>
      <c r="C42" s="108"/>
      <c r="D42" s="160" t="s">
        <v>67</v>
      </c>
      <c r="E42" s="229">
        <f>+E41/60</f>
        <v>0.16666666666666666</v>
      </c>
      <c r="F42" s="12"/>
      <c r="G42" s="12"/>
      <c r="H42" s="12"/>
      <c r="I42" s="12"/>
      <c r="J42" s="12"/>
      <c r="K42" s="12"/>
    </row>
    <row r="43" spans="7:10" ht="14.25">
      <c r="G43" s="23"/>
      <c r="H43" s="23"/>
      <c r="I43" s="23"/>
      <c r="J43" s="36"/>
    </row>
    <row r="44" spans="1:10" ht="23.25">
      <c r="A44" s="55" t="s">
        <v>115</v>
      </c>
      <c r="G44" s="23"/>
      <c r="H44" s="23"/>
      <c r="I44" s="23"/>
      <c r="J44" s="36"/>
    </row>
    <row r="46" ht="18.75" thickBot="1">
      <c r="A46" s="39" t="s">
        <v>184</v>
      </c>
    </row>
    <row r="47" spans="1:11" ht="18" customHeight="1">
      <c r="A47" s="39" t="s">
        <v>185</v>
      </c>
      <c r="C47" s="312" t="s">
        <v>93</v>
      </c>
      <c r="D47" s="314" t="s">
        <v>98</v>
      </c>
      <c r="E47" s="316" t="s">
        <v>66</v>
      </c>
      <c r="G47" s="20" t="s">
        <v>186</v>
      </c>
      <c r="I47" s="312" t="s">
        <v>93</v>
      </c>
      <c r="J47" s="314" t="s">
        <v>98</v>
      </c>
      <c r="K47" s="316" t="s">
        <v>66</v>
      </c>
    </row>
    <row r="48" spans="1:11" ht="18.75" thickBot="1">
      <c r="A48" s="196" t="s">
        <v>116</v>
      </c>
      <c r="B48" s="33"/>
      <c r="C48" s="313"/>
      <c r="D48" s="315"/>
      <c r="E48" s="317"/>
      <c r="G48" s="20" t="s">
        <v>110</v>
      </c>
      <c r="I48" s="313"/>
      <c r="J48" s="315"/>
      <c r="K48" s="317"/>
    </row>
    <row r="49" spans="1:12" ht="12.75" customHeight="1">
      <c r="A49" s="25" t="s">
        <v>72</v>
      </c>
      <c r="B49" s="25"/>
      <c r="C49" s="183">
        <v>1</v>
      </c>
      <c r="D49" s="183">
        <v>20</v>
      </c>
      <c r="E49" s="26">
        <f aca="true" t="shared" si="2" ref="E49:E54">+D49*$C$49</f>
        <v>20</v>
      </c>
      <c r="F49" s="23"/>
      <c r="G49" s="324" t="s">
        <v>99</v>
      </c>
      <c r="H49" s="325"/>
      <c r="I49" s="186">
        <v>2</v>
      </c>
      <c r="J49" s="183">
        <v>10</v>
      </c>
      <c r="K49" s="26">
        <f aca="true" t="shared" si="3" ref="K49:K54">+J49*I49</f>
        <v>20</v>
      </c>
      <c r="L49" s="23"/>
    </row>
    <row r="50" spans="1:12" ht="14.25">
      <c r="A50" s="25" t="s">
        <v>253</v>
      </c>
      <c r="B50" s="25"/>
      <c r="C50" s="251"/>
      <c r="D50" s="183">
        <v>70</v>
      </c>
      <c r="E50" s="26">
        <f t="shared" si="2"/>
        <v>70</v>
      </c>
      <c r="F50" s="23"/>
      <c r="G50" s="324" t="s">
        <v>100</v>
      </c>
      <c r="H50" s="325"/>
      <c r="I50" s="186">
        <v>1</v>
      </c>
      <c r="J50" s="183">
        <v>30</v>
      </c>
      <c r="K50" s="26">
        <f t="shared" si="3"/>
        <v>30</v>
      </c>
      <c r="L50" s="23"/>
    </row>
    <row r="51" spans="1:12" ht="14.25">
      <c r="A51" s="25" t="s">
        <v>109</v>
      </c>
      <c r="B51" s="25"/>
      <c r="C51" s="251"/>
      <c r="D51" s="183">
        <v>120</v>
      </c>
      <c r="E51" s="26">
        <f t="shared" si="2"/>
        <v>120</v>
      </c>
      <c r="F51" s="23"/>
      <c r="G51" s="324" t="s">
        <v>101</v>
      </c>
      <c r="H51" s="325"/>
      <c r="I51" s="183">
        <v>1</v>
      </c>
      <c r="J51" s="183">
        <v>30</v>
      </c>
      <c r="K51" s="26">
        <f t="shared" si="3"/>
        <v>30</v>
      </c>
      <c r="L51" s="23"/>
    </row>
    <row r="52" spans="1:12" ht="18">
      <c r="A52" s="25" t="s">
        <v>81</v>
      </c>
      <c r="B52" s="25"/>
      <c r="C52" s="251"/>
      <c r="D52" s="183">
        <v>30</v>
      </c>
      <c r="E52" s="26">
        <f t="shared" si="2"/>
        <v>30</v>
      </c>
      <c r="F52" s="23"/>
      <c r="G52" s="248" t="s">
        <v>73</v>
      </c>
      <c r="H52" s="141"/>
      <c r="I52" s="186">
        <v>1</v>
      </c>
      <c r="J52" s="183">
        <v>240</v>
      </c>
      <c r="K52" s="26">
        <f t="shared" si="3"/>
        <v>240</v>
      </c>
      <c r="L52" s="23"/>
    </row>
    <row r="53" spans="1:11" ht="14.25">
      <c r="A53" s="182"/>
      <c r="B53" s="182"/>
      <c r="C53" s="252"/>
      <c r="D53" s="183"/>
      <c r="E53" s="26">
        <f t="shared" si="2"/>
        <v>0</v>
      </c>
      <c r="F53" s="23"/>
      <c r="G53" s="326" t="s">
        <v>193</v>
      </c>
      <c r="H53" s="327"/>
      <c r="I53" s="195">
        <v>1</v>
      </c>
      <c r="J53" s="183">
        <v>20</v>
      </c>
      <c r="K53" s="27">
        <f t="shared" si="3"/>
        <v>20</v>
      </c>
    </row>
    <row r="54" spans="1:11" ht="15" thickBot="1">
      <c r="A54" s="182"/>
      <c r="B54" s="182"/>
      <c r="C54" s="252"/>
      <c r="D54" s="183"/>
      <c r="E54" s="26">
        <f t="shared" si="2"/>
        <v>0</v>
      </c>
      <c r="F54" s="23"/>
      <c r="G54" s="328"/>
      <c r="H54" s="329"/>
      <c r="I54" s="195"/>
      <c r="J54" s="183"/>
      <c r="K54" s="27">
        <f t="shared" si="3"/>
        <v>0</v>
      </c>
    </row>
    <row r="55" spans="1:11" ht="15" thickBot="1">
      <c r="A55" s="30"/>
      <c r="B55" s="30"/>
      <c r="C55" s="22"/>
      <c r="D55" s="22"/>
      <c r="E55" s="28">
        <f>SUM(E49:E54)</f>
        <v>240</v>
      </c>
      <c r="F55" s="23" t="s">
        <v>24</v>
      </c>
      <c r="G55" s="23"/>
      <c r="H55" s="23"/>
      <c r="I55" s="23"/>
      <c r="J55" s="36" t="s">
        <v>24</v>
      </c>
      <c r="K55" s="28">
        <f>SUM(K49:K54)</f>
        <v>340</v>
      </c>
    </row>
    <row r="56" spans="1:11" ht="14.25">
      <c r="A56" s="30"/>
      <c r="B56" s="30"/>
      <c r="C56" s="22"/>
      <c r="D56" s="22"/>
      <c r="E56" s="29">
        <f>+E55/60</f>
        <v>4</v>
      </c>
      <c r="F56" s="22" t="s">
        <v>117</v>
      </c>
      <c r="G56" s="23"/>
      <c r="H56" s="23"/>
      <c r="I56" s="23"/>
      <c r="J56" s="36" t="s">
        <v>4</v>
      </c>
      <c r="K56" s="31">
        <f>+K55/60</f>
        <v>5.666666666666667</v>
      </c>
    </row>
    <row r="57" spans="1:3" ht="14.25">
      <c r="A57" s="30"/>
      <c r="B57" s="30"/>
      <c r="C57" s="22"/>
    </row>
    <row r="58" spans="1:11" ht="15" thickBot="1">
      <c r="A58" s="162"/>
      <c r="B58" s="162"/>
      <c r="C58" s="108"/>
      <c r="D58" s="108"/>
      <c r="E58" s="12"/>
      <c r="F58" s="12"/>
      <c r="G58" s="12"/>
      <c r="H58" s="12"/>
      <c r="I58" s="12"/>
      <c r="J58" s="12"/>
      <c r="K58" s="12"/>
    </row>
    <row r="59" spans="1:5" ht="12.75">
      <c r="A59" s="5"/>
      <c r="B59" s="5"/>
      <c r="C59" s="4"/>
      <c r="D59" s="4"/>
      <c r="E59" s="4"/>
    </row>
    <row r="60" spans="1:5" ht="12.75">
      <c r="A60" s="5"/>
      <c r="B60" s="5"/>
      <c r="C60" s="4"/>
      <c r="D60" s="4"/>
      <c r="E60" s="4"/>
    </row>
    <row r="61" spans="1:6" ht="18">
      <c r="A61" s="5"/>
      <c r="B61" s="5"/>
      <c r="C61" s="4"/>
      <c r="D61" s="4"/>
      <c r="E61" s="20"/>
      <c r="F61" s="20" t="s">
        <v>15</v>
      </c>
    </row>
    <row r="62" spans="1:6" ht="18">
      <c r="A62" s="5"/>
      <c r="B62" s="5"/>
      <c r="C62" s="4"/>
      <c r="D62" s="4"/>
      <c r="E62" s="40"/>
      <c r="F62" s="40" t="s">
        <v>118</v>
      </c>
    </row>
    <row r="63" spans="1:7" ht="14.25">
      <c r="A63" s="5"/>
      <c r="B63" s="5"/>
      <c r="C63" s="4"/>
      <c r="D63" s="4"/>
      <c r="G63" s="23"/>
    </row>
    <row r="64" spans="1:6" ht="15">
      <c r="A64" s="5"/>
      <c r="B64" s="5"/>
      <c r="C64" s="4"/>
      <c r="D64" s="4"/>
      <c r="F64" s="24" t="s">
        <v>119</v>
      </c>
    </row>
    <row r="65" spans="1:6" ht="15">
      <c r="A65" s="5"/>
      <c r="B65" s="5"/>
      <c r="C65" s="4"/>
      <c r="D65" s="4"/>
      <c r="F65" s="24" t="s">
        <v>120</v>
      </c>
    </row>
    <row r="66" spans="1:6" ht="15">
      <c r="A66" s="5"/>
      <c r="B66" s="5"/>
      <c r="C66" s="4"/>
      <c r="D66" s="4"/>
      <c r="E66" s="4"/>
      <c r="F66" s="24" t="s">
        <v>122</v>
      </c>
    </row>
    <row r="67" spans="1:6" ht="15">
      <c r="A67" s="5"/>
      <c r="B67" s="5"/>
      <c r="C67" s="4"/>
      <c r="D67" s="4"/>
      <c r="E67" s="4"/>
      <c r="F67" s="24" t="s">
        <v>121</v>
      </c>
    </row>
    <row r="68" spans="1:5" ht="12.75">
      <c r="A68" s="5"/>
      <c r="B68" s="5"/>
      <c r="C68" s="4"/>
      <c r="D68" s="4"/>
      <c r="E68" s="4"/>
    </row>
    <row r="69" spans="1:5" ht="12.75">
      <c r="A69" s="5"/>
      <c r="B69" s="5"/>
      <c r="C69" s="4"/>
      <c r="D69" s="4"/>
      <c r="E69" s="4"/>
    </row>
    <row r="70" spans="1:5" ht="23.25">
      <c r="A70" s="55" t="s">
        <v>123</v>
      </c>
      <c r="B70" s="21"/>
      <c r="C70" s="4"/>
      <c r="D70" s="4"/>
      <c r="E70" s="4"/>
    </row>
    <row r="71" spans="1:5" ht="12.75">
      <c r="A71" s="5"/>
      <c r="B71" s="5"/>
      <c r="C71" s="19"/>
      <c r="D71" s="19"/>
      <c r="E71" s="19"/>
    </row>
    <row r="72" spans="1:5" ht="21" thickBot="1">
      <c r="A72" s="80" t="s">
        <v>124</v>
      </c>
      <c r="B72" s="5"/>
      <c r="C72" s="19"/>
      <c r="D72" s="19"/>
      <c r="E72" s="19"/>
    </row>
    <row r="73" spans="1:6" ht="18">
      <c r="A73" s="39"/>
      <c r="B73" s="330" t="s">
        <v>56</v>
      </c>
      <c r="C73" s="331"/>
      <c r="D73" s="19"/>
      <c r="E73" s="330" t="s">
        <v>58</v>
      </c>
      <c r="F73" s="331"/>
    </row>
    <row r="74" spans="1:6" ht="18">
      <c r="A74" s="5"/>
      <c r="B74" s="332" t="s">
        <v>200</v>
      </c>
      <c r="C74" s="333"/>
      <c r="E74" s="332" t="s">
        <v>208</v>
      </c>
      <c r="F74" s="333"/>
    </row>
    <row r="75" spans="2:6" ht="12.75">
      <c r="B75" s="45"/>
      <c r="C75" s="42"/>
      <c r="E75" s="45"/>
      <c r="F75" s="42"/>
    </row>
    <row r="76" spans="1:6" ht="12.75" customHeight="1">
      <c r="A76" s="255" t="s">
        <v>134</v>
      </c>
      <c r="B76" s="200">
        <v>2</v>
      </c>
      <c r="C76" s="42"/>
      <c r="E76" s="57" t="s">
        <v>138</v>
      </c>
      <c r="F76" s="189">
        <f>30-3*2.4</f>
        <v>22.8</v>
      </c>
    </row>
    <row r="77" spans="1:8" ht="12.75">
      <c r="A77" s="35" t="s">
        <v>135</v>
      </c>
      <c r="B77" s="190">
        <v>2.4</v>
      </c>
      <c r="C77" s="42"/>
      <c r="E77" s="57" t="s">
        <v>139</v>
      </c>
      <c r="F77" s="189">
        <v>1.7</v>
      </c>
      <c r="H77" s="34" t="s">
        <v>13</v>
      </c>
    </row>
    <row r="78" spans="1:8" ht="12.75">
      <c r="A78" s="35" t="s">
        <v>136</v>
      </c>
      <c r="B78" s="190">
        <v>2.3</v>
      </c>
      <c r="C78" s="42"/>
      <c r="E78" s="58" t="s">
        <v>140</v>
      </c>
      <c r="F78" s="47">
        <f>+B78</f>
        <v>2.3</v>
      </c>
      <c r="H78" s="201">
        <v>2.95</v>
      </c>
    </row>
    <row r="79" spans="1:6" ht="12.75" customHeight="1">
      <c r="A79" s="35" t="s">
        <v>137</v>
      </c>
      <c r="B79" s="44">
        <f>ROUNDUP(B78*I109*B77*$H$78*B76,0)</f>
        <v>56</v>
      </c>
      <c r="C79" s="42"/>
      <c r="E79" s="58" t="s">
        <v>141</v>
      </c>
      <c r="F79" s="47">
        <f>ROUNDUP(F78*I109*F76*$H$78,0)</f>
        <v>263</v>
      </c>
    </row>
    <row r="80" spans="1:11" ht="18" customHeight="1" thickBot="1">
      <c r="A80" s="12"/>
      <c r="B80" s="53"/>
      <c r="C80" s="54"/>
      <c r="D80" s="12"/>
      <c r="E80" s="53"/>
      <c r="F80" s="54"/>
      <c r="G80" s="12"/>
      <c r="H80" s="12"/>
      <c r="I80" s="12"/>
      <c r="J80" s="12"/>
      <c r="K80" s="12"/>
    </row>
    <row r="81" spans="1:11" ht="18" customHeight="1">
      <c r="A81" s="4"/>
      <c r="B81" s="45"/>
      <c r="C81" s="42"/>
      <c r="D81" s="4"/>
      <c r="E81" s="45"/>
      <c r="F81" s="42"/>
      <c r="G81" s="4"/>
      <c r="H81" s="4"/>
      <c r="I81" s="4"/>
      <c r="J81" s="4"/>
      <c r="K81" s="4"/>
    </row>
    <row r="82" spans="1:6" ht="18" customHeight="1">
      <c r="A82" s="80" t="s">
        <v>30</v>
      </c>
      <c r="B82" s="48"/>
      <c r="C82" s="42"/>
      <c r="E82" s="48"/>
      <c r="F82" s="334" t="s">
        <v>149</v>
      </c>
    </row>
    <row r="83" spans="1:6" ht="18" customHeight="1">
      <c r="A83" s="39"/>
      <c r="B83" s="48" t="s">
        <v>148</v>
      </c>
      <c r="C83" s="42"/>
      <c r="E83" s="48" t="s">
        <v>148</v>
      </c>
      <c r="F83" s="334"/>
    </row>
    <row r="84" spans="1:7" ht="18" customHeight="1">
      <c r="A84" s="336" t="s">
        <v>142</v>
      </c>
      <c r="B84" s="48" t="s">
        <v>147</v>
      </c>
      <c r="C84" s="46" t="s">
        <v>4</v>
      </c>
      <c r="E84" s="48" t="s">
        <v>147</v>
      </c>
      <c r="F84" s="335"/>
      <c r="G84" s="8"/>
    </row>
    <row r="85" spans="1:6" ht="18" customHeight="1">
      <c r="A85" s="337"/>
      <c r="B85" s="190">
        <v>15</v>
      </c>
      <c r="C85" s="49">
        <f>+ROUNDUP(B85/60*B77,1)</f>
        <v>0.6</v>
      </c>
      <c r="E85" s="190">
        <v>15</v>
      </c>
      <c r="F85" s="49">
        <f>ROUNDUP(+F76*E85/60,1)</f>
        <v>5.7</v>
      </c>
    </row>
    <row r="86" spans="1:11" ht="18" customHeight="1" thickBot="1">
      <c r="A86" s="12"/>
      <c r="B86" s="53"/>
      <c r="C86" s="54"/>
      <c r="D86" s="12"/>
      <c r="E86" s="53"/>
      <c r="F86" s="54"/>
      <c r="G86" s="12"/>
      <c r="H86" s="12"/>
      <c r="I86" s="12"/>
      <c r="J86" s="12"/>
      <c r="K86" s="12"/>
    </row>
    <row r="87" spans="1:11" ht="18" customHeight="1">
      <c r="A87" s="4"/>
      <c r="B87" s="45"/>
      <c r="C87" s="42"/>
      <c r="D87" s="4"/>
      <c r="E87" s="45"/>
      <c r="F87" s="42"/>
      <c r="G87" s="299" t="s">
        <v>150</v>
      </c>
      <c r="H87" s="300"/>
      <c r="I87" s="300"/>
      <c r="J87" s="300"/>
      <c r="K87" s="301"/>
    </row>
    <row r="88" spans="1:11" ht="18" customHeight="1">
      <c r="A88" s="80" t="s">
        <v>31</v>
      </c>
      <c r="B88" s="45"/>
      <c r="C88" s="42"/>
      <c r="E88" s="45"/>
      <c r="F88" s="42"/>
      <c r="G88" s="175"/>
      <c r="H88" s="175"/>
      <c r="I88" s="302" t="s">
        <v>151</v>
      </c>
      <c r="J88" s="302" t="s">
        <v>152</v>
      </c>
      <c r="K88" s="302" t="s">
        <v>153</v>
      </c>
    </row>
    <row r="89" spans="2:11" ht="18" customHeight="1">
      <c r="B89" s="45"/>
      <c r="C89" s="46" t="s">
        <v>4</v>
      </c>
      <c r="E89" s="45"/>
      <c r="F89" s="46" t="s">
        <v>4</v>
      </c>
      <c r="G89" s="175"/>
      <c r="H89" s="175"/>
      <c r="I89" s="302"/>
      <c r="J89" s="302"/>
      <c r="K89" s="303"/>
    </row>
    <row r="90" spans="1:11" ht="18" customHeight="1">
      <c r="A90" s="7" t="s">
        <v>143</v>
      </c>
      <c r="B90" s="45"/>
      <c r="C90" s="49">
        <f>+ROUNDUP(B76*B78*K93/K103,1)</f>
        <v>1.5</v>
      </c>
      <c r="E90" s="45"/>
      <c r="F90" s="49">
        <f>+ROUNDUP(F76*K93/K103,1)</f>
        <v>7.199999999999999</v>
      </c>
      <c r="G90" s="304" t="s">
        <v>154</v>
      </c>
      <c r="H90" s="291"/>
      <c r="I90" s="201">
        <v>1.2</v>
      </c>
      <c r="J90" s="202">
        <v>3</v>
      </c>
      <c r="K90" s="17">
        <f>ROUND(J90*I90/1.2+0.1,1)</f>
        <v>3.1</v>
      </c>
    </row>
    <row r="91" spans="2:11" ht="18" customHeight="1">
      <c r="B91" s="338" t="s">
        <v>146</v>
      </c>
      <c r="C91" s="42"/>
      <c r="E91" s="338"/>
      <c r="F91" s="42"/>
      <c r="G91" s="304" t="s">
        <v>155</v>
      </c>
      <c r="H91" s="291"/>
      <c r="I91" s="201">
        <v>1.2</v>
      </c>
      <c r="J91" s="202">
        <v>2</v>
      </c>
      <c r="K91" s="17">
        <f>ROUND(J91*I91/1.2+0.1,1)</f>
        <v>2.1</v>
      </c>
    </row>
    <row r="92" spans="2:11" ht="18" customHeight="1">
      <c r="B92" s="338"/>
      <c r="C92" s="46" t="s">
        <v>4</v>
      </c>
      <c r="E92" s="338"/>
      <c r="F92" s="46" t="s">
        <v>4</v>
      </c>
      <c r="G92" s="304" t="s">
        <v>156</v>
      </c>
      <c r="H92" s="291"/>
      <c r="I92" s="201">
        <v>1.2</v>
      </c>
      <c r="J92" s="202">
        <v>2</v>
      </c>
      <c r="K92" s="17">
        <f>ROUND(J92*I92/1.2+0.1,1)</f>
        <v>2.1</v>
      </c>
    </row>
    <row r="93" spans="1:11" ht="18" customHeight="1">
      <c r="A93" s="209" t="s">
        <v>144</v>
      </c>
      <c r="B93" s="268">
        <v>2.3</v>
      </c>
      <c r="C93" s="49">
        <f>+ROUNDUP(J93*B93*B76*B78/60,1)</f>
        <v>1.3</v>
      </c>
      <c r="E93" s="45"/>
      <c r="F93" s="49">
        <f>+ROUNDUP(J93*B93*F76/60,1)</f>
        <v>6.199999999999999</v>
      </c>
      <c r="G93" s="4"/>
      <c r="J93" s="17">
        <f>SUM(J90:J92)</f>
        <v>7</v>
      </c>
      <c r="K93" s="17">
        <f>SUM(K90:K92)</f>
        <v>7.300000000000001</v>
      </c>
    </row>
    <row r="94" spans="1:6" ht="18" customHeight="1">
      <c r="A94" s="211" t="s">
        <v>145</v>
      </c>
      <c r="B94" s="4"/>
      <c r="C94" s="75" t="s">
        <v>74</v>
      </c>
      <c r="E94" s="45"/>
      <c r="F94" s="75" t="s">
        <v>74</v>
      </c>
    </row>
    <row r="95" spans="1:11" ht="18" customHeight="1" thickBot="1">
      <c r="A95" s="12"/>
      <c r="B95" s="53"/>
      <c r="C95" s="76">
        <f>+C90+C93</f>
        <v>2.8</v>
      </c>
      <c r="D95" s="12"/>
      <c r="E95" s="53"/>
      <c r="F95" s="76">
        <f>+F90+F93</f>
        <v>13.399999999999999</v>
      </c>
      <c r="G95" s="12"/>
      <c r="H95" s="12"/>
      <c r="I95" s="12"/>
      <c r="J95" s="12"/>
      <c r="K95" s="12"/>
    </row>
    <row r="96" spans="1:11" ht="18" customHeight="1">
      <c r="A96" s="4"/>
      <c r="B96" s="45"/>
      <c r="C96" s="42"/>
      <c r="D96" s="4"/>
      <c r="E96" s="45"/>
      <c r="F96" s="42"/>
      <c r="G96" s="4"/>
      <c r="H96" s="4"/>
      <c r="I96" s="4"/>
      <c r="J96" s="4"/>
      <c r="K96" s="4"/>
    </row>
    <row r="97" spans="1:11" ht="20.25">
      <c r="A97" s="80" t="s">
        <v>125</v>
      </c>
      <c r="B97" s="45"/>
      <c r="C97" s="42"/>
      <c r="E97" s="45"/>
      <c r="F97" s="42"/>
      <c r="G97" s="299" t="s">
        <v>32</v>
      </c>
      <c r="H97" s="300"/>
      <c r="I97" s="300"/>
      <c r="J97" s="300"/>
      <c r="K97" s="301"/>
    </row>
    <row r="98" spans="1:11" ht="20.25">
      <c r="A98" s="80"/>
      <c r="B98" s="45"/>
      <c r="C98" s="42"/>
      <c r="E98" s="45"/>
      <c r="F98" s="42"/>
      <c r="G98" s="100" t="s">
        <v>240</v>
      </c>
      <c r="H98" s="100"/>
      <c r="I98" s="100"/>
      <c r="J98" s="101"/>
      <c r="K98" s="203">
        <v>2.16</v>
      </c>
    </row>
    <row r="99" spans="1:11" ht="14.25" customHeight="1">
      <c r="A99" s="80"/>
      <c r="B99" s="45"/>
      <c r="C99" s="42"/>
      <c r="E99" s="45"/>
      <c r="F99" s="42"/>
      <c r="G99" s="289" t="s">
        <v>161</v>
      </c>
      <c r="H99" s="290"/>
      <c r="I99" s="290"/>
      <c r="J99" s="288"/>
      <c r="K99" s="282">
        <v>1.85</v>
      </c>
    </row>
    <row r="100" spans="1:11" ht="15" customHeight="1">
      <c r="A100" s="80"/>
      <c r="B100" s="45"/>
      <c r="C100" s="42"/>
      <c r="E100" s="45"/>
      <c r="F100" s="42"/>
      <c r="G100" s="285"/>
      <c r="H100" s="286"/>
      <c r="I100" s="286"/>
      <c r="J100" s="287"/>
      <c r="K100" s="283"/>
    </row>
    <row r="101" spans="1:11" ht="12.75">
      <c r="A101" s="4"/>
      <c r="B101" s="45" t="s">
        <v>159</v>
      </c>
      <c r="C101" s="46" t="s">
        <v>3</v>
      </c>
      <c r="E101" s="48" t="s">
        <v>160</v>
      </c>
      <c r="F101" s="46" t="s">
        <v>3</v>
      </c>
      <c r="G101" s="86" t="s">
        <v>241</v>
      </c>
      <c r="H101" s="81"/>
      <c r="I101" s="81"/>
      <c r="J101" s="82"/>
      <c r="K101" s="83">
        <f>+K99+K98*2</f>
        <v>6.17</v>
      </c>
    </row>
    <row r="102" spans="1:6" ht="13.5" thickBot="1">
      <c r="A102" s="6" t="s">
        <v>157</v>
      </c>
      <c r="B102" s="190">
        <v>31</v>
      </c>
      <c r="C102" s="47">
        <f>B77*B102*B76</f>
        <v>148.79999999999998</v>
      </c>
      <c r="E102" s="44">
        <f>ROUNDUP(ROUNDUP(I113,0)*H113,0)</f>
        <v>152</v>
      </c>
      <c r="F102" s="47">
        <f>+E102*G109</f>
        <v>364.8</v>
      </c>
    </row>
    <row r="103" spans="2:11" ht="15.75">
      <c r="B103" s="48"/>
      <c r="C103" s="46" t="s">
        <v>4</v>
      </c>
      <c r="E103" s="48"/>
      <c r="F103" s="46" t="s">
        <v>4</v>
      </c>
      <c r="G103" s="284" t="s">
        <v>162</v>
      </c>
      <c r="H103" s="305"/>
      <c r="I103" s="305"/>
      <c r="J103" s="306"/>
      <c r="K103" s="307">
        <f>2.4/K101*60</f>
        <v>23.338735818476497</v>
      </c>
    </row>
    <row r="104" spans="1:11" ht="13.5" thickBot="1">
      <c r="A104" s="7" t="s">
        <v>158</v>
      </c>
      <c r="B104" s="48"/>
      <c r="C104" s="49">
        <f>C102/$K$103</f>
        <v>6.375666666666667</v>
      </c>
      <c r="E104" s="48"/>
      <c r="F104" s="49">
        <f>F102/$K$103</f>
        <v>15.630666666666668</v>
      </c>
      <c r="G104" s="309" t="s">
        <v>242</v>
      </c>
      <c r="H104" s="310"/>
      <c r="I104" s="310"/>
      <c r="J104" s="311"/>
      <c r="K104" s="308"/>
    </row>
    <row r="105" spans="1:6" ht="13.5" thickBot="1">
      <c r="A105" s="4"/>
      <c r="B105" s="48"/>
      <c r="C105" s="42"/>
      <c r="E105" s="48"/>
      <c r="F105" s="42"/>
    </row>
    <row r="106" spans="1:11" ht="15.75">
      <c r="A106" s="4"/>
      <c r="B106" s="212">
        <f>+B79</f>
        <v>56</v>
      </c>
      <c r="C106" s="42" t="s">
        <v>2</v>
      </c>
      <c r="D106" s="4"/>
      <c r="E106" s="212">
        <f>+F79</f>
        <v>263</v>
      </c>
      <c r="F106" s="42" t="s">
        <v>2</v>
      </c>
      <c r="G106" s="339" t="s">
        <v>244</v>
      </c>
      <c r="H106" s="340"/>
      <c r="I106" s="340"/>
      <c r="J106" s="340"/>
      <c r="K106" s="341"/>
    </row>
    <row r="107" spans="2:11" ht="12.75">
      <c r="B107" s="45"/>
      <c r="C107" s="42"/>
      <c r="E107" s="45"/>
      <c r="F107" s="42"/>
      <c r="G107" s="342" t="s">
        <v>163</v>
      </c>
      <c r="H107" s="344" t="s">
        <v>164</v>
      </c>
      <c r="I107" s="346" t="s">
        <v>251</v>
      </c>
      <c r="J107" s="95"/>
      <c r="K107" s="96"/>
    </row>
    <row r="108" spans="2:11" ht="15.75" customHeight="1">
      <c r="B108" s="45"/>
      <c r="C108" s="42"/>
      <c r="E108" s="45"/>
      <c r="F108" s="42"/>
      <c r="G108" s="343"/>
      <c r="H108" s="345"/>
      <c r="I108" s="347"/>
      <c r="J108" s="295" t="s">
        <v>270</v>
      </c>
      <c r="K108" s="296"/>
    </row>
    <row r="109" spans="2:11" ht="13.5" thickBot="1">
      <c r="B109" s="45"/>
      <c r="C109" s="42"/>
      <c r="E109" s="45"/>
      <c r="F109" s="42"/>
      <c r="G109" s="163">
        <f>+B77</f>
        <v>2.4</v>
      </c>
      <c r="H109" s="164">
        <f>+F78</f>
        <v>2.3</v>
      </c>
      <c r="I109" s="164">
        <f>+F77</f>
        <v>1.7</v>
      </c>
      <c r="J109" s="297">
        <v>0.6</v>
      </c>
      <c r="K109" s="298"/>
    </row>
    <row r="110" spans="2:6" ht="12.75">
      <c r="B110" s="45"/>
      <c r="C110" s="42"/>
      <c r="E110" s="45"/>
      <c r="F110" s="42"/>
    </row>
    <row r="111" spans="2:6" ht="13.5" thickBot="1">
      <c r="B111" s="45"/>
      <c r="C111" s="42"/>
      <c r="E111" s="45"/>
      <c r="F111" s="42"/>
    </row>
    <row r="112" spans="2:11" ht="12.75">
      <c r="B112" s="45"/>
      <c r="C112" s="42"/>
      <c r="E112" s="45"/>
      <c r="F112" s="42"/>
      <c r="H112" s="213" t="s">
        <v>14</v>
      </c>
      <c r="I112" s="292" t="s">
        <v>271</v>
      </c>
      <c r="J112" s="293"/>
      <c r="K112" s="294"/>
    </row>
    <row r="113" spans="2:11" ht="13.5" thickBot="1">
      <c r="B113" s="45"/>
      <c r="C113" s="42"/>
      <c r="E113" s="45"/>
      <c r="F113" s="42"/>
      <c r="H113" s="276">
        <f>ROUNDUP(F76/J109,0)</f>
        <v>38</v>
      </c>
      <c r="I113" s="474">
        <v>4</v>
      </c>
      <c r="J113" s="475"/>
      <c r="K113" s="476"/>
    </row>
    <row r="114" spans="1:11" ht="16.5" customHeight="1" thickBot="1">
      <c r="A114" s="37"/>
      <c r="B114" s="50"/>
      <c r="C114" s="51"/>
      <c r="D114" s="37"/>
      <c r="E114" s="50"/>
      <c r="F114" s="51"/>
      <c r="G114" s="92" t="s">
        <v>252</v>
      </c>
      <c r="H114" s="93">
        <f>+K114/G109</f>
        <v>0.7209429824561404</v>
      </c>
      <c r="I114" s="348" t="s">
        <v>25</v>
      </c>
      <c r="J114" s="349"/>
      <c r="K114" s="275">
        <f>+E106/H113/I113</f>
        <v>1.730263157894737</v>
      </c>
    </row>
    <row r="115" spans="1:6" ht="16.5" customHeight="1">
      <c r="A115" s="4"/>
      <c r="B115" s="45"/>
      <c r="C115" s="42"/>
      <c r="D115" s="4"/>
      <c r="E115" s="45"/>
      <c r="F115" s="42"/>
    </row>
    <row r="116" spans="1:11" ht="20.25">
      <c r="A116" s="80" t="s">
        <v>233</v>
      </c>
      <c r="B116" s="45"/>
      <c r="C116" s="42"/>
      <c r="D116" s="4"/>
      <c r="E116" s="45"/>
      <c r="F116" s="42"/>
      <c r="G116" s="353" t="s">
        <v>33</v>
      </c>
      <c r="H116" s="300"/>
      <c r="I116" s="300"/>
      <c r="J116" s="300"/>
      <c r="K116" s="301"/>
    </row>
    <row r="117" spans="2:9" ht="12.75">
      <c r="B117" s="338" t="s">
        <v>170</v>
      </c>
      <c r="C117" s="42"/>
      <c r="D117" s="4"/>
      <c r="E117" s="338" t="s">
        <v>170</v>
      </c>
      <c r="F117" s="351" t="s">
        <v>54</v>
      </c>
      <c r="G117" s="165"/>
      <c r="H117" s="94" t="s">
        <v>165</v>
      </c>
      <c r="I117" s="204">
        <v>32</v>
      </c>
    </row>
    <row r="118" spans="1:12" ht="15.75" thickBot="1">
      <c r="A118" s="22"/>
      <c r="B118" s="350"/>
      <c r="C118" s="46" t="s">
        <v>4</v>
      </c>
      <c r="E118" s="350"/>
      <c r="F118" s="352"/>
      <c r="G118" s="166"/>
      <c r="H118" s="94" t="s">
        <v>166</v>
      </c>
      <c r="I118" s="205">
        <v>1.01</v>
      </c>
      <c r="L118" s="8"/>
    </row>
    <row r="119" spans="1:11" ht="15">
      <c r="A119" s="7" t="s">
        <v>169</v>
      </c>
      <c r="B119" s="191">
        <v>0.7</v>
      </c>
      <c r="C119" s="49">
        <f>+B122*B76*B119/60</f>
        <v>0.6533333333333332</v>
      </c>
      <c r="E119" s="191">
        <v>0.7</v>
      </c>
      <c r="F119" s="49">
        <f>+E119*F102/60</f>
        <v>4.255999999999999</v>
      </c>
      <c r="J119" s="354" t="s">
        <v>168</v>
      </c>
      <c r="K119" s="355"/>
    </row>
    <row r="120" spans="2:11" ht="15" thickBot="1">
      <c r="B120" s="45"/>
      <c r="C120" s="42"/>
      <c r="E120" s="48"/>
      <c r="F120" s="356" t="s">
        <v>173</v>
      </c>
      <c r="G120" s="357" t="s">
        <v>167</v>
      </c>
      <c r="H120" s="358"/>
      <c r="I120" s="91">
        <f>POWER(I117/1000,2)*PI()/4*1000*I118</f>
        <v>0.8122901965121768</v>
      </c>
      <c r="J120" s="359">
        <f>+I120*B78/K114</f>
        <v>1.0797591357439429</v>
      </c>
      <c r="K120" s="360"/>
    </row>
    <row r="121" spans="2:6" ht="18.75" customHeight="1" thickBot="1">
      <c r="B121" s="48" t="s">
        <v>171</v>
      </c>
      <c r="C121" s="46" t="s">
        <v>172</v>
      </c>
      <c r="E121" s="48" t="s">
        <v>171</v>
      </c>
      <c r="F121" s="335"/>
    </row>
    <row r="122" spans="1:11" ht="19.5" customHeight="1" thickBot="1">
      <c r="A122" s="7" t="s">
        <v>5</v>
      </c>
      <c r="B122" s="206">
        <v>28</v>
      </c>
      <c r="C122" s="52">
        <f>ROUND(+C102/$G$109/B122,0)</f>
        <v>2</v>
      </c>
      <c r="E122" s="206">
        <v>30</v>
      </c>
      <c r="F122" s="49">
        <f>+E122/I113*J109</f>
        <v>4.5</v>
      </c>
      <c r="H122" s="364" t="s">
        <v>204</v>
      </c>
      <c r="I122" s="365"/>
      <c r="J122" s="366"/>
      <c r="K122" s="231">
        <f>ROUNDUP(+F76/F122,0)</f>
        <v>6</v>
      </c>
    </row>
    <row r="123" spans="1:11" ht="13.5" thickBot="1">
      <c r="A123" s="12"/>
      <c r="B123" s="53"/>
      <c r="C123" s="54"/>
      <c r="D123" s="12"/>
      <c r="E123" s="53"/>
      <c r="F123" s="54"/>
      <c r="G123" s="12"/>
      <c r="H123" s="12"/>
      <c r="I123" s="12"/>
      <c r="J123" s="12"/>
      <c r="K123" s="12"/>
    </row>
    <row r="125" spans="1:11" ht="20.25">
      <c r="A125" s="80" t="s">
        <v>174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ht="12.75">
      <c r="B126" s="41" t="s">
        <v>175</v>
      </c>
    </row>
    <row r="127" spans="1:5" ht="12.75" customHeight="1">
      <c r="A127" s="79" t="s">
        <v>12</v>
      </c>
      <c r="B127" t="s">
        <v>177</v>
      </c>
      <c r="E127" s="59" t="s">
        <v>27</v>
      </c>
    </row>
    <row r="128" spans="1:6" ht="12.75">
      <c r="A128" s="78" t="s">
        <v>176</v>
      </c>
      <c r="B128" s="367">
        <f>+C122+K122</f>
        <v>8</v>
      </c>
      <c r="C128" s="367"/>
      <c r="E128" s="60" t="s">
        <v>178</v>
      </c>
      <c r="F128" s="56" t="s">
        <v>74</v>
      </c>
    </row>
    <row r="129" spans="5:6" ht="12.75">
      <c r="E129" s="207">
        <v>0</v>
      </c>
      <c r="F129" s="9">
        <f>+ROUNDUP(E129/60*B128,1)</f>
        <v>0</v>
      </c>
    </row>
    <row r="130" spans="1:13" ht="13.5" thickBo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3" spans="1:12" ht="20.25">
      <c r="A133" s="21" t="s">
        <v>126</v>
      </c>
      <c r="I133" s="8"/>
      <c r="J133" s="10"/>
      <c r="L133" s="10"/>
    </row>
    <row r="134" spans="1:12" ht="18">
      <c r="A134" s="199" t="s">
        <v>127</v>
      </c>
      <c r="I134" s="8"/>
      <c r="J134" s="10"/>
      <c r="L134" s="10"/>
    </row>
    <row r="135" spans="1:12" ht="15" customHeight="1">
      <c r="A135" s="13"/>
      <c r="I135" s="8"/>
      <c r="J135" s="10"/>
      <c r="L135" s="10"/>
    </row>
    <row r="136" spans="1:12" ht="15" customHeight="1">
      <c r="A136" s="368" t="s">
        <v>128</v>
      </c>
      <c r="B136" s="369"/>
      <c r="I136" s="14" t="s">
        <v>191</v>
      </c>
      <c r="J136" s="10"/>
      <c r="L136" s="10"/>
    </row>
    <row r="137" spans="1:11" ht="15" customHeight="1">
      <c r="A137" s="370" t="s">
        <v>129</v>
      </c>
      <c r="B137" s="371"/>
      <c r="C137" s="107" t="s">
        <v>8</v>
      </c>
      <c r="D137" s="14" t="s">
        <v>9</v>
      </c>
      <c r="E137" s="15" t="s">
        <v>6</v>
      </c>
      <c r="F137" s="15" t="s">
        <v>34</v>
      </c>
      <c r="G137" s="14" t="s">
        <v>7</v>
      </c>
      <c r="H137" s="215" t="s">
        <v>10</v>
      </c>
      <c r="I137" s="217" t="s">
        <v>192</v>
      </c>
      <c r="J137" s="216" t="s">
        <v>11</v>
      </c>
      <c r="K137" s="16" t="s">
        <v>179</v>
      </c>
    </row>
    <row r="138" spans="1:11" ht="15">
      <c r="A138" s="385" t="s">
        <v>130</v>
      </c>
      <c r="B138" s="386"/>
      <c r="C138" s="150" t="s">
        <v>16</v>
      </c>
      <c r="D138" s="145">
        <f>+E34*B128</f>
        <v>2</v>
      </c>
      <c r="E138" s="145">
        <f>+E42*B128</f>
        <v>1.3333333333333333</v>
      </c>
      <c r="F138" s="145">
        <f>+K52/60+F37*B128</f>
        <v>4</v>
      </c>
      <c r="G138" s="145">
        <f>(K41-F37)*B128</f>
        <v>5.6</v>
      </c>
      <c r="H138" s="146">
        <f>+F129</f>
        <v>0</v>
      </c>
      <c r="I138" s="145">
        <f>+E56</f>
        <v>4</v>
      </c>
      <c r="J138" s="146">
        <f>+K56-K52/60</f>
        <v>1.666666666666667</v>
      </c>
      <c r="K138" s="145">
        <f>SUM(C138:J138)</f>
        <v>18.6</v>
      </c>
    </row>
    <row r="139" spans="1:11" ht="15">
      <c r="A139" s="387" t="s">
        <v>131</v>
      </c>
      <c r="B139" s="388"/>
      <c r="C139" s="146">
        <f>(C85+F85)</f>
        <v>6.3</v>
      </c>
      <c r="D139" s="146">
        <f>+(C95+F95)</f>
        <v>16.2</v>
      </c>
      <c r="E139" s="146">
        <f>(F104+C104)</f>
        <v>22.006333333333334</v>
      </c>
      <c r="F139" s="147"/>
      <c r="G139" s="146">
        <f>+(C119+F119)</f>
        <v>4.909333333333333</v>
      </c>
      <c r="H139" s="147"/>
      <c r="I139" s="147"/>
      <c r="J139" s="147"/>
      <c r="K139" s="145">
        <f>SUM(C139:J139)</f>
        <v>49.41566666666667</v>
      </c>
    </row>
    <row r="140" spans="1:2" ht="12.75">
      <c r="A140" s="158"/>
      <c r="B140" s="158"/>
    </row>
    <row r="141" spans="1:2" ht="12.75">
      <c r="A141" s="158"/>
      <c r="B141" s="158"/>
    </row>
    <row r="142" spans="1:2" ht="12.75">
      <c r="A142" s="143" t="s">
        <v>75</v>
      </c>
      <c r="B142" s="158"/>
    </row>
    <row r="143" spans="1:2" ht="12.75">
      <c r="A143" s="143" t="s">
        <v>133</v>
      </c>
      <c r="B143" s="158"/>
    </row>
    <row r="144" spans="1:2" ht="12.75">
      <c r="A144" s="158"/>
      <c r="B144" s="158"/>
    </row>
    <row r="145" spans="1:11" ht="15">
      <c r="A145" s="389" t="s">
        <v>132</v>
      </c>
      <c r="B145" s="389"/>
      <c r="C145" s="146">
        <f>+(C85+F85)/C155</f>
        <v>3.15</v>
      </c>
      <c r="D145" s="146">
        <f>+(C95+F95)/C155</f>
        <v>8.1</v>
      </c>
      <c r="E145" s="146">
        <f>(F104+C104)/C155</f>
        <v>11.003166666666667</v>
      </c>
      <c r="F145" s="147"/>
      <c r="G145" s="146">
        <f>+(C119+F119)/C155</f>
        <v>2.4546666666666663</v>
      </c>
      <c r="H145" s="147"/>
      <c r="I145" s="147"/>
      <c r="J145" s="147"/>
      <c r="K145" s="145">
        <f>SUM(C145:J145)</f>
        <v>24.707833333333333</v>
      </c>
    </row>
    <row r="146" spans="1:11" ht="15.75">
      <c r="A146" s="144" t="s">
        <v>250</v>
      </c>
      <c r="K146" s="148"/>
    </row>
    <row r="147" ht="12.75">
      <c r="K147" s="43"/>
    </row>
    <row r="148" ht="12.75">
      <c r="A148" s="4"/>
    </row>
    <row r="150" spans="1:12" ht="12.75">
      <c r="A150" s="4" t="s">
        <v>180</v>
      </c>
      <c r="B150" s="4"/>
      <c r="C150" s="11">
        <f>(C145)*$C$155</f>
        <v>6.3</v>
      </c>
      <c r="D150" s="11">
        <f>(D138+D145)*$C155</f>
        <v>20.2</v>
      </c>
      <c r="E150" s="11">
        <f>(E138+E145)*$C155</f>
        <v>24.673000000000002</v>
      </c>
      <c r="F150" s="11">
        <f>(F138+F145)*$C155</f>
        <v>8</v>
      </c>
      <c r="G150" s="11">
        <f>(G138+G145)*$C155</f>
        <v>16.109333333333332</v>
      </c>
      <c r="H150" s="11">
        <f>(H138)*$C155</f>
        <v>0</v>
      </c>
      <c r="I150" s="11">
        <f>(I138)*$C155</f>
        <v>8</v>
      </c>
      <c r="J150" s="11">
        <f>(J138)*$C155</f>
        <v>3.333333333333334</v>
      </c>
      <c r="K150" s="17">
        <f>SUM(C150:J150)</f>
        <v>86.61566666666666</v>
      </c>
      <c r="L150" s="43" t="s">
        <v>19</v>
      </c>
    </row>
    <row r="151" spans="1:12" ht="15">
      <c r="A151" s="4" t="s">
        <v>76</v>
      </c>
      <c r="B151" s="4"/>
      <c r="C151" s="11">
        <f aca="true" t="shared" si="4" ref="C151:J151">+C150/$C$156</f>
        <v>0.7875</v>
      </c>
      <c r="D151" s="11">
        <f t="shared" si="4"/>
        <v>2.525</v>
      </c>
      <c r="E151" s="11">
        <f t="shared" si="4"/>
        <v>3.0841250000000002</v>
      </c>
      <c r="F151" s="11">
        <f t="shared" si="4"/>
        <v>1</v>
      </c>
      <c r="G151" s="11">
        <f t="shared" si="4"/>
        <v>2.0136666666666665</v>
      </c>
      <c r="H151" s="11">
        <f t="shared" si="4"/>
        <v>0</v>
      </c>
      <c r="I151" s="11">
        <f t="shared" si="4"/>
        <v>1</v>
      </c>
      <c r="J151" s="11">
        <f t="shared" si="4"/>
        <v>0.41666666666666674</v>
      </c>
      <c r="K151" s="145">
        <f>SUM(C151:J151)</f>
        <v>10.826958333333332</v>
      </c>
      <c r="L151" s="43" t="s">
        <v>77</v>
      </c>
    </row>
    <row r="153" ht="12.75">
      <c r="K153" s="8" t="s">
        <v>35</v>
      </c>
    </row>
    <row r="155" spans="1:11" ht="15.75">
      <c r="A155" s="167" t="s">
        <v>89</v>
      </c>
      <c r="B155" s="161"/>
      <c r="C155" s="208">
        <v>2</v>
      </c>
      <c r="D155" s="161"/>
      <c r="G155" s="149" t="s">
        <v>45</v>
      </c>
      <c r="H155" s="232">
        <v>0.1</v>
      </c>
      <c r="J155" s="149" t="s">
        <v>78</v>
      </c>
      <c r="K155" s="168">
        <f>+K151*H155</f>
        <v>1.0826958333333332</v>
      </c>
    </row>
    <row r="156" spans="1:11" ht="15">
      <c r="A156" s="167" t="s">
        <v>90</v>
      </c>
      <c r="B156" s="167"/>
      <c r="C156" s="208">
        <v>8</v>
      </c>
      <c r="D156" s="161" t="s">
        <v>4</v>
      </c>
      <c r="K156" s="8" t="s">
        <v>36</v>
      </c>
    </row>
    <row r="157" spans="10:11" ht="15.75">
      <c r="J157" s="104" t="s">
        <v>79</v>
      </c>
      <c r="K157" s="168">
        <f>+K155+K151</f>
        <v>11.909654166666666</v>
      </c>
    </row>
    <row r="158" ht="12.75">
      <c r="K158" s="8" t="s">
        <v>44</v>
      </c>
    </row>
    <row r="159" spans="10:11" ht="15.75">
      <c r="J159" s="104" t="s">
        <v>181</v>
      </c>
      <c r="K159" s="168">
        <f>+K157*C156/(C156-E22)*E22/C156</f>
        <v>4.470385947946514</v>
      </c>
    </row>
    <row r="160" ht="12.75">
      <c r="K160" s="8" t="s">
        <v>40</v>
      </c>
    </row>
    <row r="161" spans="10:11" ht="15.75">
      <c r="J161" s="104" t="s">
        <v>182</v>
      </c>
      <c r="K161" s="168">
        <f>+K159+K157</f>
        <v>16.38004011461318</v>
      </c>
    </row>
    <row r="162" ht="14.25">
      <c r="I162" s="36"/>
    </row>
    <row r="163" ht="15.75">
      <c r="E163" s="104"/>
    </row>
    <row r="165" ht="16.5" thickBot="1">
      <c r="C165" s="87"/>
    </row>
    <row r="166" spans="2:7" ht="23.25" customHeight="1" thickBot="1" thickTop="1">
      <c r="B166" s="361" t="s">
        <v>80</v>
      </c>
      <c r="C166" s="362"/>
      <c r="D166" s="362"/>
      <c r="E166" s="362"/>
      <c r="F166" s="362"/>
      <c r="G166" s="363"/>
    </row>
    <row r="167" spans="2:11" ht="22.5" customHeight="1" thickBot="1">
      <c r="B167" s="376" t="s">
        <v>49</v>
      </c>
      <c r="C167" s="377"/>
      <c r="D167" s="377"/>
      <c r="E167" s="378"/>
      <c r="F167" s="169" t="s">
        <v>51</v>
      </c>
      <c r="G167" s="379" t="s">
        <v>53</v>
      </c>
      <c r="J167" s="63">
        <f>+F79+B79</f>
        <v>319</v>
      </c>
      <c r="K167" t="s">
        <v>2</v>
      </c>
    </row>
    <row r="168" spans="2:7" ht="18.75" customHeight="1" thickBot="1">
      <c r="B168" s="130" t="s">
        <v>47</v>
      </c>
      <c r="C168" s="128" t="s">
        <v>48</v>
      </c>
      <c r="D168" s="381" t="s">
        <v>234</v>
      </c>
      <c r="E168" s="382"/>
      <c r="F168" s="129" t="s">
        <v>50</v>
      </c>
      <c r="G168" s="380"/>
    </row>
    <row r="169" spans="2:11" ht="21" customHeight="1" thickBot="1">
      <c r="B169" s="170">
        <f>+K151</f>
        <v>10.826958333333332</v>
      </c>
      <c r="C169" s="171">
        <f>+K155</f>
        <v>1.0826958333333332</v>
      </c>
      <c r="D169" s="383">
        <f>+K157</f>
        <v>11.909654166666666</v>
      </c>
      <c r="E169" s="384"/>
      <c r="F169" s="172">
        <f>+K159</f>
        <v>4.470385947946514</v>
      </c>
      <c r="G169" s="173">
        <f>+D169+F169</f>
        <v>16.38004011461318</v>
      </c>
      <c r="H169" s="372" t="s">
        <v>52</v>
      </c>
      <c r="I169" s="373"/>
      <c r="J169" s="174">
        <f>+J167/G169</f>
        <v>19.474921780894142</v>
      </c>
      <c r="K169" t="s">
        <v>183</v>
      </c>
    </row>
    <row r="170" spans="2:7" ht="21" customHeight="1" thickTop="1">
      <c r="B170" s="135">
        <f>+B169/$G$169</f>
        <v>0.6609848484848484</v>
      </c>
      <c r="C170" s="135">
        <f>+C169/$G$169</f>
        <v>0.06609848484848484</v>
      </c>
      <c r="D170" s="374">
        <f>+C170+B170</f>
        <v>0.7270833333333332</v>
      </c>
      <c r="E170" s="375"/>
      <c r="F170" s="135">
        <f>+F169/$G$169</f>
        <v>0.27291666666666664</v>
      </c>
      <c r="G170" s="137">
        <f>+F170+D170</f>
        <v>0.9999999999999998</v>
      </c>
    </row>
    <row r="171" spans="1:9" ht="15.75">
      <c r="A171" s="18"/>
      <c r="B171" s="18"/>
      <c r="I171" s="4"/>
    </row>
  </sheetData>
  <mergeCells count="76">
    <mergeCell ref="H169:I169"/>
    <mergeCell ref="D170:E170"/>
    <mergeCell ref="G87:K87"/>
    <mergeCell ref="B167:E167"/>
    <mergeCell ref="G167:G168"/>
    <mergeCell ref="D168:E168"/>
    <mergeCell ref="D169:E169"/>
    <mergeCell ref="A138:B138"/>
    <mergeCell ref="A139:B139"/>
    <mergeCell ref="A145:B145"/>
    <mergeCell ref="B166:G166"/>
    <mergeCell ref="H122:J122"/>
    <mergeCell ref="B128:C128"/>
    <mergeCell ref="A136:B136"/>
    <mergeCell ref="A137:B137"/>
    <mergeCell ref="J119:K119"/>
    <mergeCell ref="F120:F121"/>
    <mergeCell ref="G120:H120"/>
    <mergeCell ref="J120:K120"/>
    <mergeCell ref="I114:J114"/>
    <mergeCell ref="B117:B118"/>
    <mergeCell ref="E117:E118"/>
    <mergeCell ref="F117:F118"/>
    <mergeCell ref="G116:K116"/>
    <mergeCell ref="G106:K106"/>
    <mergeCell ref="G107:G108"/>
    <mergeCell ref="H107:H108"/>
    <mergeCell ref="I107:I108"/>
    <mergeCell ref="B91:B92"/>
    <mergeCell ref="E91:E92"/>
    <mergeCell ref="G91:H91"/>
    <mergeCell ref="G92:H92"/>
    <mergeCell ref="B74:C74"/>
    <mergeCell ref="E74:F74"/>
    <mergeCell ref="F82:F84"/>
    <mergeCell ref="A84:A85"/>
    <mergeCell ref="G53:H53"/>
    <mergeCell ref="G54:H54"/>
    <mergeCell ref="B73:C73"/>
    <mergeCell ref="E73:F73"/>
    <mergeCell ref="K47:K48"/>
    <mergeCell ref="G49:H49"/>
    <mergeCell ref="G50:H50"/>
    <mergeCell ref="G51:H51"/>
    <mergeCell ref="J47:J48"/>
    <mergeCell ref="I47:I48"/>
    <mergeCell ref="J27:J28"/>
    <mergeCell ref="K27:K28"/>
    <mergeCell ref="C27:C28"/>
    <mergeCell ref="C10:C11"/>
    <mergeCell ref="D10:D11"/>
    <mergeCell ref="E10:E11"/>
    <mergeCell ref="H10:K11"/>
    <mergeCell ref="D27:D28"/>
    <mergeCell ref="E27:E28"/>
    <mergeCell ref="C47:C48"/>
    <mergeCell ref="D47:D48"/>
    <mergeCell ref="E47:E48"/>
    <mergeCell ref="I27:I28"/>
    <mergeCell ref="D36:D37"/>
    <mergeCell ref="E36:E37"/>
    <mergeCell ref="C36:C37"/>
    <mergeCell ref="G99:J100"/>
    <mergeCell ref="K99:K100"/>
    <mergeCell ref="G103:J103"/>
    <mergeCell ref="K103:K104"/>
    <mergeCell ref="G104:J104"/>
    <mergeCell ref="G97:K97"/>
    <mergeCell ref="I88:I89"/>
    <mergeCell ref="J88:J89"/>
    <mergeCell ref="K88:K89"/>
    <mergeCell ref="G90:H90"/>
    <mergeCell ref="I112:K112"/>
    <mergeCell ref="I113:K113"/>
    <mergeCell ref="J108:K108"/>
    <mergeCell ref="J109:K109"/>
  </mergeCells>
  <printOptions/>
  <pageMargins left="0.38" right="0.34" top="1" bottom="1" header="0.4921259845" footer="0.4921259845"/>
  <pageSetup cellComments="asDisplayed" horizontalDpi="600" verticalDpi="600" orientation="landscape" scale="67" r:id="rId4"/>
  <headerFooter alignWithMargins="0">
    <oddFooter>&amp;LFichier :  &amp;F
Onglet :&amp;A
Page &amp;P de &amp;N&amp;CMine-laboratoire
Val-d'Or
&amp;R&amp;D
&amp;T</oddFooter>
  </headerFooter>
  <rowBreaks count="4" manualBreakCount="4">
    <brk id="42" max="10" man="1"/>
    <brk id="80" max="10" man="1"/>
    <brk id="114" max="10" man="1"/>
    <brk id="130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40"/>
  <sheetViews>
    <sheetView zoomScale="66" zoomScaleNormal="66" workbookViewId="0" topLeftCell="B1">
      <selection activeCell="K4" sqref="K4"/>
    </sheetView>
  </sheetViews>
  <sheetFormatPr defaultColWidth="9.140625" defaultRowHeight="12.75"/>
  <cols>
    <col min="1" max="1" width="25.28125" style="0" customWidth="1"/>
    <col min="2" max="2" width="14.421875" style="0" customWidth="1"/>
    <col min="3" max="3" width="12.7109375" style="0" customWidth="1"/>
    <col min="4" max="4" width="11.8515625" style="0" customWidth="1"/>
    <col min="5" max="5" width="10.8515625" style="0" customWidth="1"/>
    <col min="6" max="6" width="16.140625" style="0" customWidth="1"/>
    <col min="7" max="7" width="11.28125" style="0" customWidth="1"/>
    <col min="8" max="8" width="16.421875" style="0" customWidth="1"/>
    <col min="9" max="9" width="13.7109375" style="0" customWidth="1"/>
    <col min="10" max="10" width="12.140625" style="0" customWidth="1"/>
    <col min="11" max="11" width="15.00390625" style="0" customWidth="1"/>
    <col min="12" max="12" width="11.7109375" style="0" customWidth="1"/>
    <col min="13" max="13" width="13.421875" style="0" customWidth="1"/>
    <col min="14" max="14" width="12.8515625" style="0" customWidth="1"/>
    <col min="15" max="16384" width="11.421875" style="0" customWidth="1"/>
  </cols>
  <sheetData>
    <row r="2" ht="36.75">
      <c r="A2" s="1" t="s">
        <v>59</v>
      </c>
    </row>
    <row r="3" spans="1:2" ht="36.75">
      <c r="A3" s="1" t="s">
        <v>91</v>
      </c>
      <c r="B3" s="1"/>
    </row>
    <row r="4" spans="1:14" ht="32.25" customHeight="1" thickBot="1">
      <c r="A4" s="109"/>
      <c r="B4" s="109"/>
      <c r="C4" s="110"/>
      <c r="D4" s="110"/>
      <c r="E4" s="110"/>
      <c r="F4" s="110"/>
      <c r="G4" s="110"/>
      <c r="H4" s="110"/>
      <c r="I4" s="110"/>
      <c r="J4" s="110"/>
      <c r="K4" s="269" t="s">
        <v>273</v>
      </c>
      <c r="L4" s="110"/>
      <c r="M4" s="110"/>
      <c r="N4" s="110"/>
    </row>
    <row r="5" ht="13.5" thickTop="1"/>
    <row r="6" spans="1:2" ht="22.5" customHeight="1">
      <c r="A6" s="55" t="s">
        <v>60</v>
      </c>
      <c r="B6" s="21"/>
    </row>
    <row r="7" spans="1:2" ht="9.75" customHeight="1" thickBot="1">
      <c r="A7" s="21"/>
      <c r="B7" s="21"/>
    </row>
    <row r="8" spans="1:12" ht="18" customHeight="1">
      <c r="A8" s="21"/>
      <c r="B8" s="21"/>
      <c r="C8" s="312" t="s">
        <v>93</v>
      </c>
      <c r="D8" s="314" t="s">
        <v>98</v>
      </c>
      <c r="E8" s="316" t="s">
        <v>66</v>
      </c>
      <c r="G8" s="235"/>
      <c r="I8" s="414" t="s">
        <v>23</v>
      </c>
      <c r="J8" s="415"/>
      <c r="K8" s="415"/>
      <c r="L8" s="416"/>
    </row>
    <row r="9" spans="1:12" ht="11.25" customHeight="1" thickBot="1">
      <c r="A9" s="21"/>
      <c r="B9" s="21"/>
      <c r="C9" s="313"/>
      <c r="D9" s="315"/>
      <c r="E9" s="317"/>
      <c r="I9" s="417"/>
      <c r="J9" s="418"/>
      <c r="K9" s="418"/>
      <c r="L9" s="419"/>
    </row>
    <row r="10" spans="1:12" ht="15" customHeight="1">
      <c r="A10" s="25" t="s">
        <v>61</v>
      </c>
      <c r="B10" s="25"/>
      <c r="C10" s="181">
        <v>2</v>
      </c>
      <c r="D10" s="181">
        <v>10</v>
      </c>
      <c r="E10" s="26">
        <f>+D10*C10</f>
        <v>20</v>
      </c>
      <c r="I10" s="236"/>
      <c r="J10" s="237"/>
      <c r="K10" s="237"/>
      <c r="L10" s="238"/>
    </row>
    <row r="11" spans="1:12" ht="15" customHeight="1">
      <c r="A11" s="25" t="s">
        <v>94</v>
      </c>
      <c r="B11" s="25"/>
      <c r="C11" s="181">
        <v>2</v>
      </c>
      <c r="D11" s="181">
        <v>2</v>
      </c>
      <c r="E11" s="26">
        <f>+D11*C11</f>
        <v>4</v>
      </c>
      <c r="I11" s="236" t="s">
        <v>228</v>
      </c>
      <c r="J11" s="239"/>
      <c r="K11" s="239"/>
      <c r="L11" s="240"/>
    </row>
    <row r="12" spans="1:12" ht="15" customHeight="1">
      <c r="A12" s="25" t="s">
        <v>95</v>
      </c>
      <c r="B12" s="25"/>
      <c r="C12" s="181">
        <v>1</v>
      </c>
      <c r="D12" s="181">
        <v>10</v>
      </c>
      <c r="E12" s="26">
        <f aca="true" t="shared" si="0" ref="E12:E18">+D12*C12</f>
        <v>10</v>
      </c>
      <c r="F12" s="3"/>
      <c r="I12" s="236"/>
      <c r="J12" s="239"/>
      <c r="K12" s="239"/>
      <c r="L12" s="240"/>
    </row>
    <row r="13" spans="1:13" ht="15" customHeight="1">
      <c r="A13" s="25" t="s">
        <v>62</v>
      </c>
      <c r="B13" s="25"/>
      <c r="C13" s="181">
        <v>2</v>
      </c>
      <c r="D13" s="181">
        <v>10</v>
      </c>
      <c r="E13" s="26">
        <f t="shared" si="0"/>
        <v>20</v>
      </c>
      <c r="I13" s="236" t="s">
        <v>229</v>
      </c>
      <c r="J13" s="239"/>
      <c r="K13" s="239"/>
      <c r="L13" s="240"/>
      <c r="M13" s="23"/>
    </row>
    <row r="14" spans="1:12" ht="15" customHeight="1">
      <c r="A14" s="25" t="s">
        <v>63</v>
      </c>
      <c r="B14" s="25"/>
      <c r="C14" s="181">
        <v>1</v>
      </c>
      <c r="D14" s="181">
        <v>15</v>
      </c>
      <c r="E14" s="26">
        <f t="shared" si="0"/>
        <v>15</v>
      </c>
      <c r="I14" s="236" t="s">
        <v>230</v>
      </c>
      <c r="J14" s="239"/>
      <c r="K14" s="239"/>
      <c r="L14" s="240"/>
    </row>
    <row r="15" spans="1:12" ht="15" customHeight="1">
      <c r="A15" s="25" t="s">
        <v>64</v>
      </c>
      <c r="B15" s="25"/>
      <c r="C15" s="181">
        <v>1</v>
      </c>
      <c r="D15" s="181">
        <v>10</v>
      </c>
      <c r="E15" s="26">
        <f t="shared" si="0"/>
        <v>10</v>
      </c>
      <c r="I15" s="236"/>
      <c r="J15" s="239"/>
      <c r="K15" s="239"/>
      <c r="L15" s="240"/>
    </row>
    <row r="16" spans="1:12" ht="15" customHeight="1">
      <c r="A16" s="25" t="s">
        <v>96</v>
      </c>
      <c r="B16" s="25"/>
      <c r="C16" s="181">
        <v>1</v>
      </c>
      <c r="D16" s="181">
        <v>12</v>
      </c>
      <c r="E16" s="26">
        <f t="shared" si="0"/>
        <v>12</v>
      </c>
      <c r="I16" s="236" t="s">
        <v>231</v>
      </c>
      <c r="J16" s="239"/>
      <c r="K16" s="239"/>
      <c r="L16" s="240"/>
    </row>
    <row r="17" spans="1:12" ht="15" customHeight="1">
      <c r="A17" s="25" t="s">
        <v>0</v>
      </c>
      <c r="B17" s="25"/>
      <c r="C17" s="181">
        <v>1</v>
      </c>
      <c r="D17" s="181">
        <v>30</v>
      </c>
      <c r="E17" s="26">
        <f t="shared" si="0"/>
        <v>30</v>
      </c>
      <c r="I17" s="236" t="s">
        <v>232</v>
      </c>
      <c r="J17" s="239"/>
      <c r="K17" s="239"/>
      <c r="L17" s="240"/>
    </row>
    <row r="18" spans="1:12" ht="15" customHeight="1" thickBot="1">
      <c r="A18" s="182" t="s">
        <v>65</v>
      </c>
      <c r="B18" s="182"/>
      <c r="C18" s="181">
        <v>1</v>
      </c>
      <c r="D18" s="181">
        <v>10</v>
      </c>
      <c r="E18" s="27">
        <f t="shared" si="0"/>
        <v>10</v>
      </c>
      <c r="I18" s="236"/>
      <c r="J18" s="239"/>
      <c r="K18" s="239"/>
      <c r="L18" s="240"/>
    </row>
    <row r="19" spans="1:12" ht="15.75" thickBot="1">
      <c r="A19" s="22"/>
      <c r="B19" s="22"/>
      <c r="C19" s="22"/>
      <c r="D19" s="22"/>
      <c r="E19" s="28">
        <f>SUM(E10:E18)</f>
        <v>131</v>
      </c>
      <c r="F19" s="23" t="s">
        <v>24</v>
      </c>
      <c r="I19" s="241"/>
      <c r="J19" s="242"/>
      <c r="K19" s="242"/>
      <c r="L19" s="243"/>
    </row>
    <row r="20" spans="1:6" ht="14.25">
      <c r="A20" s="22"/>
      <c r="B20" s="22"/>
      <c r="C20" s="22"/>
      <c r="D20" s="22"/>
      <c r="E20" s="29">
        <f>+E19/60</f>
        <v>2.183333333333333</v>
      </c>
      <c r="F20" s="23" t="s">
        <v>1</v>
      </c>
    </row>
    <row r="21" spans="1:5" ht="14.25">
      <c r="A21" s="22"/>
      <c r="B21" s="22"/>
      <c r="C21" s="22"/>
      <c r="D21" s="22"/>
      <c r="E21" s="22"/>
    </row>
    <row r="22" spans="1:14" ht="15" thickBot="1">
      <c r="A22" s="108"/>
      <c r="B22" s="108"/>
      <c r="C22" s="108"/>
      <c r="D22" s="108"/>
      <c r="E22" s="108"/>
      <c r="F22" s="12"/>
      <c r="G22" s="12"/>
      <c r="H22" s="12"/>
      <c r="I22" s="12"/>
      <c r="J22" s="12"/>
      <c r="K22" s="12"/>
      <c r="L22" s="12"/>
      <c r="M22" s="12"/>
      <c r="N22" s="12"/>
    </row>
    <row r="23" spans="1:4" ht="12.75">
      <c r="A23" s="4"/>
      <c r="B23" s="4"/>
      <c r="C23" s="4"/>
      <c r="D23" s="4"/>
    </row>
    <row r="24" spans="1:5" ht="23.25">
      <c r="A24" s="55" t="s">
        <v>97</v>
      </c>
      <c r="B24" s="21"/>
      <c r="C24" s="4"/>
      <c r="D24" s="4"/>
      <c r="E24" s="4"/>
    </row>
    <row r="25" spans="1:5" ht="12.75" customHeight="1" thickBot="1">
      <c r="A25" s="21"/>
      <c r="B25" s="21"/>
      <c r="C25" s="4"/>
      <c r="D25" s="4"/>
      <c r="E25" s="4"/>
    </row>
    <row r="26" spans="1:13" ht="18" customHeight="1">
      <c r="A26" s="20" t="s">
        <v>22</v>
      </c>
      <c r="C26" s="312" t="s">
        <v>93</v>
      </c>
      <c r="D26" s="314" t="s">
        <v>98</v>
      </c>
      <c r="E26" s="316" t="s">
        <v>66</v>
      </c>
      <c r="G26" s="21"/>
      <c r="H26" s="21"/>
      <c r="K26" s="312" t="s">
        <v>93</v>
      </c>
      <c r="L26" s="314" t="s">
        <v>98</v>
      </c>
      <c r="M26" s="316" t="s">
        <v>66</v>
      </c>
    </row>
    <row r="27" spans="1:13" ht="18" customHeight="1" thickBot="1">
      <c r="A27" s="20" t="s">
        <v>18</v>
      </c>
      <c r="C27" s="313"/>
      <c r="D27" s="315"/>
      <c r="E27" s="317"/>
      <c r="H27" s="214" t="s">
        <v>187</v>
      </c>
      <c r="K27" s="313"/>
      <c r="L27" s="315"/>
      <c r="M27" s="317"/>
    </row>
    <row r="28" spans="1:13" ht="15" customHeight="1">
      <c r="A28" s="25" t="s">
        <v>112</v>
      </c>
      <c r="B28" s="23"/>
      <c r="C28" s="183">
        <v>1</v>
      </c>
      <c r="D28" s="183">
        <v>15</v>
      </c>
      <c r="E28" s="26">
        <f>+D28*C28</f>
        <v>15</v>
      </c>
      <c r="H28" s="230" t="s">
        <v>104</v>
      </c>
      <c r="K28" s="183">
        <v>1</v>
      </c>
      <c r="L28" s="183">
        <v>5</v>
      </c>
      <c r="M28" s="26">
        <f aca="true" t="shared" si="1" ref="M28:M34">+L28*K28</f>
        <v>5</v>
      </c>
    </row>
    <row r="29" spans="1:13" ht="15" customHeight="1">
      <c r="A29" s="25" t="s">
        <v>113</v>
      </c>
      <c r="B29" s="23"/>
      <c r="C29" s="183"/>
      <c r="D29" s="183"/>
      <c r="E29" s="26">
        <f>+D29*C29</f>
        <v>0</v>
      </c>
      <c r="H29" s="230" t="s">
        <v>105</v>
      </c>
      <c r="K29" s="183">
        <v>1</v>
      </c>
      <c r="L29" s="183">
        <v>6</v>
      </c>
      <c r="M29" s="26">
        <f t="shared" si="1"/>
        <v>6</v>
      </c>
    </row>
    <row r="30" spans="1:13" ht="15" customHeight="1">
      <c r="A30" s="25" t="s">
        <v>81</v>
      </c>
      <c r="C30" s="183">
        <v>1</v>
      </c>
      <c r="D30" s="183">
        <v>5</v>
      </c>
      <c r="E30" s="26">
        <f>+D30*C30</f>
        <v>5</v>
      </c>
      <c r="H30" s="230" t="s">
        <v>106</v>
      </c>
      <c r="K30" s="183">
        <v>1</v>
      </c>
      <c r="L30" s="183">
        <v>5</v>
      </c>
      <c r="M30" s="26">
        <f t="shared" si="1"/>
        <v>5</v>
      </c>
    </row>
    <row r="31" spans="1:13" ht="15" customHeight="1" thickBot="1">
      <c r="A31" s="184"/>
      <c r="B31" s="185"/>
      <c r="C31" s="183"/>
      <c r="D31" s="183"/>
      <c r="E31" s="26">
        <f>+D31*C31</f>
        <v>0</v>
      </c>
      <c r="H31" s="230" t="s">
        <v>107</v>
      </c>
      <c r="K31" s="183"/>
      <c r="L31" s="183"/>
      <c r="M31" s="26">
        <f t="shared" si="1"/>
        <v>0</v>
      </c>
    </row>
    <row r="32" spans="1:13" ht="15" customHeight="1" thickBot="1">
      <c r="A32" s="30"/>
      <c r="B32" s="23"/>
      <c r="C32" s="22"/>
      <c r="D32" s="36" t="s">
        <v>102</v>
      </c>
      <c r="E32" s="28">
        <f>SUM(E28:E31)</f>
        <v>20</v>
      </c>
      <c r="H32" s="230" t="s">
        <v>68</v>
      </c>
      <c r="K32" s="183">
        <v>1</v>
      </c>
      <c r="L32" s="183">
        <v>8</v>
      </c>
      <c r="M32" s="26">
        <f t="shared" si="1"/>
        <v>8</v>
      </c>
    </row>
    <row r="33" spans="1:13" ht="15" customHeight="1">
      <c r="A33" s="23"/>
      <c r="B33" s="23"/>
      <c r="C33" s="23"/>
      <c r="D33" s="36" t="s">
        <v>67</v>
      </c>
      <c r="E33" s="29">
        <f>+E32/60</f>
        <v>0.3333333333333333</v>
      </c>
      <c r="H33" s="230" t="s">
        <v>69</v>
      </c>
      <c r="K33" s="183">
        <v>1</v>
      </c>
      <c r="L33" s="183">
        <v>5</v>
      </c>
      <c r="M33" s="26">
        <f t="shared" si="1"/>
        <v>5</v>
      </c>
    </row>
    <row r="34" spans="8:13" ht="15" customHeight="1">
      <c r="H34" s="230" t="s">
        <v>111</v>
      </c>
      <c r="K34" s="183">
        <v>1</v>
      </c>
      <c r="L34" s="183">
        <v>5</v>
      </c>
      <c r="M34" s="26">
        <f t="shared" si="1"/>
        <v>5</v>
      </c>
    </row>
    <row r="35" spans="6:13" ht="15" customHeight="1" thickBot="1">
      <c r="F35" s="23"/>
      <c r="H35" s="230" t="s">
        <v>108</v>
      </c>
      <c r="K35" s="183">
        <v>1</v>
      </c>
      <c r="L35" s="183">
        <v>2</v>
      </c>
      <c r="M35" s="26">
        <f>+L35*K35</f>
        <v>2</v>
      </c>
    </row>
    <row r="36" spans="3:13" ht="15" customHeight="1">
      <c r="C36" s="312" t="s">
        <v>93</v>
      </c>
      <c r="D36" s="314" t="s">
        <v>98</v>
      </c>
      <c r="E36" s="316" t="s">
        <v>66</v>
      </c>
      <c r="H36" s="256" t="s">
        <v>246</v>
      </c>
      <c r="L36" s="183"/>
      <c r="M36" s="26">
        <f>+L36</f>
        <v>0</v>
      </c>
    </row>
    <row r="37" spans="1:13" ht="18.75" customHeight="1" thickBot="1">
      <c r="A37" s="38" t="s">
        <v>21</v>
      </c>
      <c r="B37" s="4"/>
      <c r="C37" s="313"/>
      <c r="D37" s="315"/>
      <c r="E37" s="317"/>
      <c r="H37" s="246"/>
      <c r="I37" s="182"/>
      <c r="J37" s="234"/>
      <c r="K37" s="183"/>
      <c r="L37" s="183"/>
      <c r="M37" s="26">
        <f>+L37*K37</f>
        <v>0</v>
      </c>
    </row>
    <row r="38" spans="1:13" ht="15" customHeight="1" thickBot="1">
      <c r="A38" s="25" t="s">
        <v>70</v>
      </c>
      <c r="B38" s="23"/>
      <c r="C38" s="183">
        <v>1</v>
      </c>
      <c r="D38" s="183">
        <v>5</v>
      </c>
      <c r="E38" s="26">
        <f>+D38*C38</f>
        <v>5</v>
      </c>
      <c r="F38" s="23"/>
      <c r="H38" s="246"/>
      <c r="I38" s="182"/>
      <c r="J38" s="234"/>
      <c r="K38" s="183"/>
      <c r="L38" s="183"/>
      <c r="M38" s="26">
        <f>+L38*K38</f>
        <v>0</v>
      </c>
    </row>
    <row r="39" spans="1:13" ht="15" customHeight="1" thickBot="1">
      <c r="A39" s="25" t="s">
        <v>114</v>
      </c>
      <c r="B39" s="23"/>
      <c r="C39" s="183">
        <v>1</v>
      </c>
      <c r="D39" s="183">
        <v>5</v>
      </c>
      <c r="E39" s="26">
        <f>+D39*C39</f>
        <v>5</v>
      </c>
      <c r="G39" s="30"/>
      <c r="H39" s="30"/>
      <c r="K39" s="22"/>
      <c r="L39" s="36" t="s">
        <v>103</v>
      </c>
      <c r="M39" s="28">
        <f>SUM(M28:M38)</f>
        <v>36</v>
      </c>
    </row>
    <row r="40" spans="1:13" ht="15" customHeight="1" thickBot="1">
      <c r="A40" s="184"/>
      <c r="B40" s="185"/>
      <c r="C40" s="183"/>
      <c r="D40" s="183"/>
      <c r="E40" s="26">
        <f>+D40*C40</f>
        <v>0</v>
      </c>
      <c r="G40" s="30"/>
      <c r="H40" s="30"/>
      <c r="K40" s="22"/>
      <c r="L40" s="36" t="s">
        <v>71</v>
      </c>
      <c r="M40" s="29">
        <f>+M39/60</f>
        <v>0.6</v>
      </c>
    </row>
    <row r="41" spans="1:5" ht="15" customHeight="1" thickBot="1">
      <c r="A41" s="23"/>
      <c r="B41" s="23"/>
      <c r="C41" s="23"/>
      <c r="D41" s="36" t="s">
        <v>102</v>
      </c>
      <c r="E41" s="28">
        <f>SUM(E38:E40)</f>
        <v>10</v>
      </c>
    </row>
    <row r="42" spans="1:5" ht="15" customHeight="1">
      <c r="A42" s="23"/>
      <c r="B42" s="23"/>
      <c r="C42" s="23"/>
      <c r="D42" s="36" t="s">
        <v>67</v>
      </c>
      <c r="E42" s="29">
        <f>+E41/60</f>
        <v>0.16666666666666666</v>
      </c>
    </row>
    <row r="43" spans="1:14" ht="13.5" thickBo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ht="6" customHeight="1"/>
    <row r="45" ht="23.25">
      <c r="A45" s="55" t="s">
        <v>115</v>
      </c>
    </row>
    <row r="47" spans="1:3" ht="18.75" thickBot="1">
      <c r="A47" s="39" t="s">
        <v>184</v>
      </c>
      <c r="C47" s="156"/>
    </row>
    <row r="48" spans="1:14" ht="18" customHeight="1">
      <c r="A48" s="39" t="s">
        <v>185</v>
      </c>
      <c r="C48" s="312" t="s">
        <v>93</v>
      </c>
      <c r="D48" s="314" t="s">
        <v>98</v>
      </c>
      <c r="E48" s="316" t="s">
        <v>66</v>
      </c>
      <c r="I48" s="38" t="s">
        <v>17</v>
      </c>
      <c r="L48" s="312" t="s">
        <v>93</v>
      </c>
      <c r="M48" s="314" t="s">
        <v>98</v>
      </c>
      <c r="N48" s="316" t="s">
        <v>66</v>
      </c>
    </row>
    <row r="49" spans="1:14" ht="18.75" thickBot="1">
      <c r="A49" s="196" t="s">
        <v>256</v>
      </c>
      <c r="B49" s="33"/>
      <c r="C49" s="313"/>
      <c r="D49" s="315"/>
      <c r="E49" s="317"/>
      <c r="I49" s="38" t="s">
        <v>110</v>
      </c>
      <c r="L49" s="313"/>
      <c r="M49" s="315"/>
      <c r="N49" s="317"/>
    </row>
    <row r="50" spans="1:14" ht="15" customHeight="1">
      <c r="A50" s="25" t="s">
        <v>72</v>
      </c>
      <c r="B50" s="25"/>
      <c r="C50" s="183">
        <v>4</v>
      </c>
      <c r="D50" s="183">
        <v>20</v>
      </c>
      <c r="E50" s="26">
        <f aca="true" t="shared" si="2" ref="E50:E55">+D50*$C$50</f>
        <v>80</v>
      </c>
      <c r="F50" s="23"/>
      <c r="I50" s="394" t="s">
        <v>99</v>
      </c>
      <c r="J50" s="395"/>
      <c r="L50" s="233">
        <v>2</v>
      </c>
      <c r="M50" s="194">
        <v>20</v>
      </c>
      <c r="N50" s="26">
        <f aca="true" t="shared" si="3" ref="N50:N55">+M50*L50</f>
        <v>40</v>
      </c>
    </row>
    <row r="51" spans="1:14" ht="15" customHeight="1">
      <c r="A51" s="25" t="s">
        <v>253</v>
      </c>
      <c r="B51" s="25"/>
      <c r="C51" s="251"/>
      <c r="D51" s="183">
        <v>70</v>
      </c>
      <c r="E51" s="26">
        <f t="shared" si="2"/>
        <v>280</v>
      </c>
      <c r="F51" s="23"/>
      <c r="I51" s="394" t="s">
        <v>100</v>
      </c>
      <c r="J51" s="395"/>
      <c r="L51" s="183">
        <v>1</v>
      </c>
      <c r="M51" s="183">
        <v>30</v>
      </c>
      <c r="N51" s="26">
        <f t="shared" si="3"/>
        <v>30</v>
      </c>
    </row>
    <row r="52" spans="1:14" ht="15" customHeight="1">
      <c r="A52" s="25" t="s">
        <v>109</v>
      </c>
      <c r="B52" s="25"/>
      <c r="C52" s="251"/>
      <c r="D52" s="183">
        <v>120</v>
      </c>
      <c r="E52" s="26">
        <f t="shared" si="2"/>
        <v>480</v>
      </c>
      <c r="F52" s="23"/>
      <c r="I52" s="394" t="s">
        <v>101</v>
      </c>
      <c r="J52" s="394"/>
      <c r="K52" s="432"/>
      <c r="L52" s="183">
        <v>1</v>
      </c>
      <c r="M52" s="183">
        <v>15</v>
      </c>
      <c r="N52" s="26">
        <f t="shared" si="3"/>
        <v>15</v>
      </c>
    </row>
    <row r="53" spans="1:14" ht="15" customHeight="1">
      <c r="A53" s="25" t="s">
        <v>81</v>
      </c>
      <c r="B53" s="25"/>
      <c r="C53" s="251"/>
      <c r="D53" s="183">
        <v>30</v>
      </c>
      <c r="E53" s="26">
        <f t="shared" si="2"/>
        <v>120</v>
      </c>
      <c r="F53" s="23"/>
      <c r="I53" s="249" t="s">
        <v>73</v>
      </c>
      <c r="J53" s="247"/>
      <c r="K53" s="141"/>
      <c r="L53" s="183">
        <v>4</v>
      </c>
      <c r="M53" s="183">
        <v>240</v>
      </c>
      <c r="N53" s="26">
        <f t="shared" si="3"/>
        <v>960</v>
      </c>
    </row>
    <row r="54" spans="1:14" ht="14.25">
      <c r="A54" s="182"/>
      <c r="B54" s="182"/>
      <c r="C54" s="252"/>
      <c r="D54" s="183"/>
      <c r="E54" s="26">
        <f t="shared" si="2"/>
        <v>0</v>
      </c>
      <c r="H54" s="245"/>
      <c r="I54" s="394" t="s">
        <v>193</v>
      </c>
      <c r="J54" s="394"/>
      <c r="K54" s="432"/>
      <c r="L54" s="183">
        <v>1</v>
      </c>
      <c r="M54" s="183">
        <v>20</v>
      </c>
      <c r="N54" s="26">
        <f t="shared" si="3"/>
        <v>20</v>
      </c>
    </row>
    <row r="55" spans="1:14" ht="15" thickBot="1">
      <c r="A55" s="182"/>
      <c r="B55" s="182"/>
      <c r="C55" s="252"/>
      <c r="D55" s="183"/>
      <c r="E55" s="26">
        <f t="shared" si="2"/>
        <v>0</v>
      </c>
      <c r="F55" s="23"/>
      <c r="I55" s="328"/>
      <c r="J55" s="328"/>
      <c r="K55" s="329"/>
      <c r="L55" s="183"/>
      <c r="M55" s="183"/>
      <c r="N55" s="27">
        <f t="shared" si="3"/>
        <v>0</v>
      </c>
    </row>
    <row r="56" spans="1:14" ht="15" thickBot="1">
      <c r="A56" s="30"/>
      <c r="B56" s="30"/>
      <c r="C56" s="22"/>
      <c r="D56" s="22"/>
      <c r="E56" s="28">
        <f>SUM(E50:E55)</f>
        <v>960</v>
      </c>
      <c r="F56" s="23" t="s">
        <v>24</v>
      </c>
      <c r="G56" s="23"/>
      <c r="H56" s="23"/>
      <c r="L56" s="23"/>
      <c r="M56" s="36" t="s">
        <v>24</v>
      </c>
      <c r="N56" s="28">
        <f>SUM(N50:N55)</f>
        <v>1065</v>
      </c>
    </row>
    <row r="57" spans="1:14" ht="14.25">
      <c r="A57" s="30"/>
      <c r="B57" s="30"/>
      <c r="C57" s="22"/>
      <c r="D57" s="22"/>
      <c r="E57" s="29">
        <f>+E56/60</f>
        <v>16</v>
      </c>
      <c r="F57" s="23" t="s">
        <v>117</v>
      </c>
      <c r="G57" s="23"/>
      <c r="H57" s="23"/>
      <c r="L57" s="23"/>
      <c r="M57" s="36" t="s">
        <v>4</v>
      </c>
      <c r="N57" s="151">
        <f>+N56/60</f>
        <v>17.75</v>
      </c>
    </row>
    <row r="58" spans="1:14" ht="14.25">
      <c r="A58" s="30"/>
      <c r="B58" s="30"/>
      <c r="C58" s="22"/>
      <c r="D58" s="22"/>
      <c r="E58" s="22"/>
      <c r="F58" s="23"/>
      <c r="G58" s="23"/>
      <c r="H58" s="23"/>
      <c r="L58" s="23"/>
      <c r="M58" s="36"/>
      <c r="N58" s="36"/>
    </row>
    <row r="59" spans="1:14" ht="15" thickBot="1">
      <c r="A59" s="162"/>
      <c r="B59" s="162"/>
      <c r="C59" s="108"/>
      <c r="D59" s="108"/>
      <c r="E59" s="108"/>
      <c r="F59" s="108"/>
      <c r="G59" s="108"/>
      <c r="H59" s="108"/>
      <c r="I59" s="12"/>
      <c r="J59" s="12"/>
      <c r="K59" s="12"/>
      <c r="L59" s="108"/>
      <c r="M59" s="160"/>
      <c r="N59" s="160"/>
    </row>
    <row r="60" spans="1:5" ht="12.75">
      <c r="A60" s="5"/>
      <c r="B60" s="5"/>
      <c r="C60" s="4"/>
      <c r="D60" s="4"/>
      <c r="E60" s="4"/>
    </row>
    <row r="61" spans="1:8" ht="18">
      <c r="A61" s="20" t="s">
        <v>15</v>
      </c>
      <c r="B61" s="5"/>
      <c r="C61" s="4"/>
      <c r="D61" s="4"/>
      <c r="E61" s="4"/>
      <c r="H61" s="257" t="s">
        <v>257</v>
      </c>
    </row>
    <row r="62" spans="1:8" ht="18">
      <c r="A62" s="40" t="s">
        <v>118</v>
      </c>
      <c r="B62" s="5"/>
      <c r="C62" s="4"/>
      <c r="D62" s="4"/>
      <c r="E62" s="4"/>
      <c r="H62" s="258" t="s">
        <v>258</v>
      </c>
    </row>
    <row r="63" spans="1:9" ht="18">
      <c r="A63" s="40"/>
      <c r="B63" s="5"/>
      <c r="C63" s="4"/>
      <c r="D63" s="4"/>
      <c r="E63" s="4"/>
      <c r="I63" s="40"/>
    </row>
    <row r="64" spans="1:9" ht="18">
      <c r="A64" s="40"/>
      <c r="B64" s="5"/>
      <c r="C64" s="4"/>
      <c r="D64" s="4"/>
      <c r="E64" s="4"/>
      <c r="I64" s="40"/>
    </row>
    <row r="65" spans="1:9" ht="18">
      <c r="A65" s="40"/>
      <c r="B65" s="5"/>
      <c r="C65" s="4"/>
      <c r="D65" s="4"/>
      <c r="E65" s="4"/>
      <c r="I65" s="20"/>
    </row>
    <row r="66" spans="1:5" ht="18">
      <c r="A66" s="5"/>
      <c r="B66" s="5"/>
      <c r="C66" s="4"/>
      <c r="D66" s="4"/>
      <c r="E66" s="20"/>
    </row>
    <row r="67" spans="1:5" ht="14.25" customHeight="1">
      <c r="A67" s="5"/>
      <c r="B67" s="5"/>
      <c r="C67" s="4"/>
      <c r="D67" s="4"/>
      <c r="E67" s="40"/>
    </row>
    <row r="68" spans="1:7" ht="14.25">
      <c r="A68" s="5"/>
      <c r="B68" s="5"/>
      <c r="C68" s="4"/>
      <c r="D68" s="4"/>
      <c r="G68" s="23"/>
    </row>
    <row r="69" spans="1:4" ht="12.75">
      <c r="A69" s="5"/>
      <c r="B69" s="5"/>
      <c r="C69" s="4"/>
      <c r="D69" s="4"/>
    </row>
    <row r="70" spans="1:4" ht="12.75">
      <c r="A70" s="5"/>
      <c r="B70" s="5"/>
      <c r="C70" s="4"/>
      <c r="D70" s="4"/>
    </row>
    <row r="71" spans="1:6" ht="15">
      <c r="A71" s="5"/>
      <c r="B71" s="5"/>
      <c r="C71" s="4"/>
      <c r="D71" s="4"/>
      <c r="E71" s="4"/>
      <c r="F71" s="24"/>
    </row>
    <row r="72" spans="1:5" ht="12.75">
      <c r="A72" s="5"/>
      <c r="B72" s="5"/>
      <c r="C72" s="4"/>
      <c r="D72" s="4"/>
      <c r="E72" s="4"/>
    </row>
    <row r="73" spans="1:5" ht="12.75">
      <c r="A73" s="5"/>
      <c r="B73" s="5"/>
      <c r="C73" s="4"/>
      <c r="D73" s="4"/>
      <c r="E73" s="4"/>
    </row>
    <row r="74" spans="1:5" ht="12.75">
      <c r="A74" s="5"/>
      <c r="B74" s="5"/>
      <c r="C74" s="4"/>
      <c r="D74" s="4"/>
      <c r="E74" s="4"/>
    </row>
    <row r="75" spans="1:5" ht="12.75">
      <c r="A75" s="5"/>
      <c r="B75" s="5"/>
      <c r="C75" s="4"/>
      <c r="D75" s="4"/>
      <c r="E75" s="4"/>
    </row>
    <row r="76" spans="1:5" ht="12.75">
      <c r="A76" s="5"/>
      <c r="B76" s="5"/>
      <c r="C76" s="4"/>
      <c r="D76" s="4"/>
      <c r="E76" s="4"/>
    </row>
    <row r="77" spans="1:5" ht="12.75">
      <c r="A77" s="5"/>
      <c r="B77" s="5"/>
      <c r="C77" s="4"/>
      <c r="D77" s="4"/>
      <c r="E77" s="4"/>
    </row>
    <row r="78" spans="1:5" ht="12.75">
      <c r="A78" s="5"/>
      <c r="B78" s="5"/>
      <c r="C78" s="4"/>
      <c r="D78" s="4"/>
      <c r="E78" s="4"/>
    </row>
    <row r="79" spans="1:5" ht="12.75">
      <c r="A79" s="5"/>
      <c r="B79" s="5"/>
      <c r="C79" s="4"/>
      <c r="D79" s="4"/>
      <c r="E79" s="4"/>
    </row>
    <row r="80" spans="1:5" ht="12.75">
      <c r="A80" s="5"/>
      <c r="B80" s="5"/>
      <c r="C80" s="4"/>
      <c r="D80" s="4"/>
      <c r="E80" s="4"/>
    </row>
    <row r="81" spans="1:5" ht="23.25">
      <c r="A81" s="55" t="s">
        <v>123</v>
      </c>
      <c r="B81" s="5"/>
      <c r="C81" s="4"/>
      <c r="D81" s="4"/>
      <c r="E81" s="4"/>
    </row>
    <row r="82" spans="2:5" ht="20.25">
      <c r="B82" s="21"/>
      <c r="C82" s="4"/>
      <c r="D82" s="4"/>
      <c r="E82" s="4"/>
    </row>
    <row r="83" spans="1:5" ht="12.75">
      <c r="A83" s="5"/>
      <c r="B83" s="5"/>
      <c r="C83" s="19"/>
      <c r="D83" s="19"/>
      <c r="E83" s="19"/>
    </row>
    <row r="84" spans="1:5" ht="21" thickBot="1">
      <c r="A84" s="80" t="s">
        <v>124</v>
      </c>
      <c r="B84" s="5"/>
      <c r="C84" s="19"/>
      <c r="D84" s="19"/>
      <c r="E84" s="19"/>
    </row>
    <row r="85" spans="1:9" ht="20.25">
      <c r="A85" s="80"/>
      <c r="B85" s="330" t="s">
        <v>28</v>
      </c>
      <c r="C85" s="331"/>
      <c r="D85" s="19"/>
      <c r="E85" s="330" t="s">
        <v>29</v>
      </c>
      <c r="F85" s="331"/>
      <c r="H85" s="330" t="s">
        <v>56</v>
      </c>
      <c r="I85" s="331"/>
    </row>
    <row r="86" spans="1:11" ht="18">
      <c r="A86" s="5"/>
      <c r="B86" s="332" t="s">
        <v>198</v>
      </c>
      <c r="C86" s="333"/>
      <c r="E86" s="332" t="s">
        <v>199</v>
      </c>
      <c r="F86" s="333"/>
      <c r="H86" s="332" t="s">
        <v>200</v>
      </c>
      <c r="I86" s="473"/>
      <c r="K86" s="34" t="s">
        <v>13</v>
      </c>
    </row>
    <row r="87" spans="1:11" ht="12.75">
      <c r="A87" s="4"/>
      <c r="B87" s="45"/>
      <c r="C87" s="42"/>
      <c r="E87" s="45"/>
      <c r="F87" s="42"/>
      <c r="H87" s="45"/>
      <c r="I87" s="42"/>
      <c r="K87" s="201">
        <v>2.95</v>
      </c>
    </row>
    <row r="88" spans="1:9" ht="12.75">
      <c r="A88" s="4"/>
      <c r="B88" s="57" t="s">
        <v>195</v>
      </c>
      <c r="C88" s="187">
        <v>3.65</v>
      </c>
      <c r="E88" s="57" t="s">
        <v>138</v>
      </c>
      <c r="F88" s="189">
        <v>348</v>
      </c>
      <c r="H88" s="57" t="s">
        <v>195</v>
      </c>
      <c r="I88" s="187">
        <v>2.4</v>
      </c>
    </row>
    <row r="89" spans="1:9" ht="12.75">
      <c r="A89" s="4"/>
      <c r="B89" s="45" t="s">
        <v>196</v>
      </c>
      <c r="C89" s="187">
        <v>3.55</v>
      </c>
      <c r="E89" s="58" t="s">
        <v>140</v>
      </c>
      <c r="F89" s="49">
        <f>+C90</f>
        <v>2.4</v>
      </c>
      <c r="H89" s="45" t="s">
        <v>196</v>
      </c>
      <c r="I89" s="187">
        <v>2.35</v>
      </c>
    </row>
    <row r="90" spans="1:9" ht="12.75">
      <c r="A90" s="4"/>
      <c r="B90" s="58" t="s">
        <v>140</v>
      </c>
      <c r="C90" s="188">
        <v>2.4</v>
      </c>
      <c r="E90" s="58" t="s">
        <v>259</v>
      </c>
      <c r="F90" s="49">
        <f>+C91</f>
        <v>1.8</v>
      </c>
      <c r="H90" s="58" t="s">
        <v>140</v>
      </c>
      <c r="I90" s="188">
        <v>2.3</v>
      </c>
    </row>
    <row r="91" spans="1:9" ht="12.75" customHeight="1">
      <c r="A91" s="4"/>
      <c r="B91" s="58" t="s">
        <v>197</v>
      </c>
      <c r="C91" s="188">
        <v>1.8</v>
      </c>
      <c r="E91" s="58" t="s">
        <v>88</v>
      </c>
      <c r="F91" s="52">
        <f>ROUNDUP(F88/C89,0)</f>
        <v>99</v>
      </c>
      <c r="H91" s="58" t="s">
        <v>197</v>
      </c>
      <c r="I91" s="49">
        <f>+C91</f>
        <v>1.8</v>
      </c>
    </row>
    <row r="92" spans="2:9" ht="12.75" customHeight="1" thickBot="1">
      <c r="B92" s="58" t="s">
        <v>235</v>
      </c>
      <c r="C92" s="47">
        <f>ROUNDUP(+C89*C90*C91*K87,0)</f>
        <v>46</v>
      </c>
      <c r="E92" s="58" t="s">
        <v>141</v>
      </c>
      <c r="F92" s="47">
        <f>ROUNDUP(F88*F89*F90*K87,0)</f>
        <v>4435</v>
      </c>
      <c r="H92" s="98" t="s">
        <v>141</v>
      </c>
      <c r="I92" s="99">
        <f>ROUNDUP(+I89*I90*I91*K87,0)</f>
        <v>29</v>
      </c>
    </row>
    <row r="93" spans="1:14" ht="12.75" customHeight="1">
      <c r="A93" s="4"/>
      <c r="B93" s="45"/>
      <c r="C93" s="42"/>
      <c r="D93" s="4"/>
      <c r="E93" s="45"/>
      <c r="F93" s="42"/>
      <c r="G93" s="4"/>
      <c r="H93" s="392" t="s">
        <v>134</v>
      </c>
      <c r="I93" s="393"/>
      <c r="J93" s="4"/>
      <c r="K93" s="4"/>
      <c r="L93" s="4"/>
      <c r="M93" s="4"/>
      <c r="N93" s="4"/>
    </row>
    <row r="94" spans="1:14" ht="12.75" customHeight="1" thickBot="1">
      <c r="A94" s="12"/>
      <c r="B94" s="53"/>
      <c r="C94" s="54"/>
      <c r="D94" s="12"/>
      <c r="E94" s="53"/>
      <c r="F94" s="54"/>
      <c r="G94" s="12"/>
      <c r="H94" s="471">
        <v>3</v>
      </c>
      <c r="I94" s="472"/>
      <c r="J94" s="12"/>
      <c r="K94" s="12"/>
      <c r="L94" s="12"/>
      <c r="M94" s="12"/>
      <c r="N94" s="12"/>
    </row>
    <row r="95" spans="1:14" ht="12.75" customHeight="1">
      <c r="A95" s="4"/>
      <c r="B95" s="45"/>
      <c r="C95" s="42"/>
      <c r="D95" s="4"/>
      <c r="E95" s="45"/>
      <c r="F95" s="42"/>
      <c r="G95" s="4"/>
      <c r="H95" s="45"/>
      <c r="I95" s="42"/>
      <c r="J95" s="4"/>
      <c r="K95" s="4"/>
      <c r="L95" s="4"/>
      <c r="M95" s="4"/>
      <c r="N95" s="4"/>
    </row>
    <row r="96" spans="1:11" ht="12.75">
      <c r="A96" s="4"/>
      <c r="B96" s="45"/>
      <c r="C96" s="42"/>
      <c r="D96" s="4"/>
      <c r="E96" s="45"/>
      <c r="F96" s="42"/>
      <c r="G96" s="4"/>
      <c r="H96" s="45"/>
      <c r="I96" s="42"/>
      <c r="J96" s="4"/>
      <c r="K96" s="4"/>
    </row>
    <row r="97" spans="1:11" ht="12.75">
      <c r="A97" s="4"/>
      <c r="B97" s="45"/>
      <c r="C97" s="42"/>
      <c r="D97" s="4"/>
      <c r="E97" s="45"/>
      <c r="F97" s="42"/>
      <c r="G97" s="4"/>
      <c r="H97" s="45"/>
      <c r="I97" s="42"/>
      <c r="J97" s="4"/>
      <c r="K97" s="4"/>
    </row>
    <row r="98" spans="1:11" ht="12.75">
      <c r="A98" s="4"/>
      <c r="B98" s="45"/>
      <c r="C98" s="42"/>
      <c r="D98" s="4"/>
      <c r="E98" s="45"/>
      <c r="F98" s="42"/>
      <c r="G98" s="4"/>
      <c r="H98" s="45"/>
      <c r="I98" s="42"/>
      <c r="J98" s="4"/>
      <c r="K98" s="4"/>
    </row>
    <row r="99" spans="1:11" ht="20.25">
      <c r="A99" s="80" t="s">
        <v>30</v>
      </c>
      <c r="B99" s="45"/>
      <c r="C99" s="42"/>
      <c r="D99" s="4"/>
      <c r="E99" s="45"/>
      <c r="F99" s="42"/>
      <c r="G99" s="4"/>
      <c r="H99" s="45"/>
      <c r="I99" s="42"/>
      <c r="J99" s="4"/>
      <c r="K99" s="4"/>
    </row>
    <row r="100" spans="2:9" ht="18" customHeight="1">
      <c r="B100" s="48" t="s">
        <v>148</v>
      </c>
      <c r="C100" s="42"/>
      <c r="E100" s="45"/>
      <c r="F100" s="334" t="s">
        <v>54</v>
      </c>
      <c r="H100" s="45"/>
      <c r="I100" s="42"/>
    </row>
    <row r="101" spans="1:9" ht="12.75">
      <c r="A101" s="422" t="s">
        <v>142</v>
      </c>
      <c r="B101" s="48" t="s">
        <v>147</v>
      </c>
      <c r="C101" s="46" t="s">
        <v>4</v>
      </c>
      <c r="E101" s="45"/>
      <c r="F101" s="335"/>
      <c r="G101" s="8"/>
      <c r="H101" s="45"/>
      <c r="I101" s="51" t="s">
        <v>57</v>
      </c>
    </row>
    <row r="102" spans="1:9" ht="12.75">
      <c r="A102" s="423"/>
      <c r="B102" s="190">
        <v>15</v>
      </c>
      <c r="C102" s="49">
        <f>ROUNDUP(B102/60*C89,1)</f>
        <v>0.9</v>
      </c>
      <c r="E102" s="45"/>
      <c r="F102" s="49">
        <f>ROUNDUP(C102*F91,1)</f>
        <v>89.1</v>
      </c>
      <c r="H102" s="45"/>
      <c r="I102" s="49">
        <f>ROUNDUP(B102*I89/60*H94,1)</f>
        <v>1.8</v>
      </c>
    </row>
    <row r="103" spans="1:14" ht="13.5" thickBot="1">
      <c r="A103" s="12"/>
      <c r="B103" s="53"/>
      <c r="C103" s="54"/>
      <c r="D103" s="12"/>
      <c r="E103" s="53"/>
      <c r="F103" s="54"/>
      <c r="G103" s="12"/>
      <c r="H103" s="53"/>
      <c r="I103" s="54"/>
      <c r="J103" s="12"/>
      <c r="K103" s="12"/>
      <c r="L103" s="12"/>
      <c r="M103" s="12"/>
      <c r="N103" s="12"/>
    </row>
    <row r="104" spans="1:11" ht="12.75">
      <c r="A104" s="4"/>
      <c r="B104" s="45"/>
      <c r="C104" s="42"/>
      <c r="D104" s="4"/>
      <c r="E104" s="45"/>
      <c r="F104" s="42"/>
      <c r="G104" s="4"/>
      <c r="H104" s="45"/>
      <c r="I104" s="42"/>
      <c r="J104" s="4"/>
      <c r="K104" s="4"/>
    </row>
    <row r="105" spans="1:14" ht="15.75">
      <c r="A105" s="4"/>
      <c r="B105" s="45"/>
      <c r="C105" s="42"/>
      <c r="D105" s="4"/>
      <c r="E105" s="45"/>
      <c r="F105" s="42"/>
      <c r="G105" s="4"/>
      <c r="H105" s="45"/>
      <c r="I105" s="42"/>
      <c r="J105" s="299" t="s">
        <v>150</v>
      </c>
      <c r="K105" s="300"/>
      <c r="L105" s="300"/>
      <c r="M105" s="300"/>
      <c r="N105" s="301"/>
    </row>
    <row r="106" spans="1:14" ht="20.25">
      <c r="A106" s="80" t="s">
        <v>31</v>
      </c>
      <c r="B106" s="45"/>
      <c r="C106" s="42"/>
      <c r="D106" s="4"/>
      <c r="E106" s="45"/>
      <c r="F106" s="42"/>
      <c r="H106" s="45"/>
      <c r="I106" s="42"/>
      <c r="J106" s="426"/>
      <c r="K106" s="427"/>
      <c r="L106" s="302" t="s">
        <v>237</v>
      </c>
      <c r="M106" s="302" t="s">
        <v>238</v>
      </c>
      <c r="N106" s="302" t="s">
        <v>239</v>
      </c>
    </row>
    <row r="107" spans="2:14" ht="15.75" customHeight="1">
      <c r="B107" s="45"/>
      <c r="C107" s="42"/>
      <c r="E107" s="45"/>
      <c r="F107" s="42"/>
      <c r="H107" s="45"/>
      <c r="I107" s="42"/>
      <c r="J107" s="428"/>
      <c r="K107" s="429"/>
      <c r="L107" s="302"/>
      <c r="M107" s="302"/>
      <c r="N107" s="303"/>
    </row>
    <row r="108" spans="2:14" ht="15.75">
      <c r="B108" s="45"/>
      <c r="C108" s="46" t="s">
        <v>4</v>
      </c>
      <c r="E108" s="45"/>
      <c r="F108" s="46" t="s">
        <v>4</v>
      </c>
      <c r="H108" s="45"/>
      <c r="I108" s="46" t="s">
        <v>4</v>
      </c>
      <c r="J108" s="430"/>
      <c r="K108" s="431"/>
      <c r="L108" s="302"/>
      <c r="M108" s="302"/>
      <c r="N108" s="303"/>
    </row>
    <row r="109" spans="1:14" ht="12.75">
      <c r="A109" s="7" t="s">
        <v>201</v>
      </c>
      <c r="B109" s="338" t="s">
        <v>236</v>
      </c>
      <c r="C109" s="49">
        <f>ROUNDUP(+N112/N122*C89,1)</f>
        <v>1</v>
      </c>
      <c r="E109" s="45"/>
      <c r="F109" s="49">
        <f>+ROUNDUP(C109*F91,1)</f>
        <v>99</v>
      </c>
      <c r="H109" s="45"/>
      <c r="I109" s="49">
        <f>ROUNDUP(+N112/N122*I89*H94,1)</f>
        <v>2</v>
      </c>
      <c r="J109" s="304" t="s">
        <v>154</v>
      </c>
      <c r="K109" s="291"/>
      <c r="L109" s="201">
        <v>1.2</v>
      </c>
      <c r="M109" s="262">
        <v>2</v>
      </c>
      <c r="N109" s="64">
        <f>ROUND(M109*L109/1.2+0.1,1)</f>
        <v>2.1</v>
      </c>
    </row>
    <row r="110" spans="2:14" ht="12.75" customHeight="1">
      <c r="B110" s="424"/>
      <c r="C110" s="42"/>
      <c r="E110" s="45"/>
      <c r="F110" s="42"/>
      <c r="H110" s="45"/>
      <c r="I110" s="42"/>
      <c r="J110" s="304" t="s">
        <v>155</v>
      </c>
      <c r="K110" s="291"/>
      <c r="L110" s="201">
        <v>1.2</v>
      </c>
      <c r="M110" s="262">
        <v>2</v>
      </c>
      <c r="N110" s="64">
        <f>ROUND(M110*L110/1.2+0.1,1)</f>
        <v>2.1</v>
      </c>
    </row>
    <row r="111" spans="2:14" ht="12.75" customHeight="1">
      <c r="B111" s="425"/>
      <c r="C111" s="46" t="s">
        <v>4</v>
      </c>
      <c r="E111" s="45"/>
      <c r="F111" s="46" t="s">
        <v>4</v>
      </c>
      <c r="H111" s="45"/>
      <c r="I111" s="46" t="s">
        <v>4</v>
      </c>
      <c r="J111" s="304" t="s">
        <v>156</v>
      </c>
      <c r="K111" s="291"/>
      <c r="L111" s="201">
        <v>1.2</v>
      </c>
      <c r="M111" s="262">
        <v>2</v>
      </c>
      <c r="N111" s="64">
        <f>ROUND(M111*L111/1.2+0.1,1)</f>
        <v>2.1</v>
      </c>
    </row>
    <row r="112" spans="1:14" ht="12.75">
      <c r="A112" s="209" t="s">
        <v>144</v>
      </c>
      <c r="B112" s="210">
        <v>3</v>
      </c>
      <c r="C112" s="49">
        <f>+ROUNDUP(B112/60*M112*C89,1)</f>
        <v>1.1</v>
      </c>
      <c r="E112" s="45"/>
      <c r="F112" s="49">
        <f>+ROUNDUP(C112*F91,1)</f>
        <v>108.9</v>
      </c>
      <c r="H112" s="45"/>
      <c r="I112" s="49">
        <f>+ROUNDUP(B112/60*M112*I89*H94,1)</f>
        <v>2.2</v>
      </c>
      <c r="J112" s="4"/>
      <c r="M112" s="263">
        <f>SUM(M109:M111)</f>
        <v>6</v>
      </c>
      <c r="N112" s="64">
        <f>SUM(N109:N111)</f>
        <v>6.300000000000001</v>
      </c>
    </row>
    <row r="113" spans="1:9" ht="12.75">
      <c r="A113" s="211" t="s">
        <v>145</v>
      </c>
      <c r="B113" s="4"/>
      <c r="C113" s="75" t="s">
        <v>74</v>
      </c>
      <c r="E113" s="45"/>
      <c r="F113" s="75" t="s">
        <v>74</v>
      </c>
      <c r="H113" s="45"/>
      <c r="I113" s="75" t="s">
        <v>74</v>
      </c>
    </row>
    <row r="114" spans="1:14" ht="13.5" thickBot="1">
      <c r="A114" s="12"/>
      <c r="B114" s="53"/>
      <c r="C114" s="76">
        <f>+C109+C112</f>
        <v>2.1</v>
      </c>
      <c r="D114" s="102"/>
      <c r="E114" s="53"/>
      <c r="F114" s="76">
        <f>+F109+F112</f>
        <v>207.9</v>
      </c>
      <c r="G114" s="12"/>
      <c r="H114" s="53"/>
      <c r="I114" s="76">
        <f>+I109+I112</f>
        <v>4.2</v>
      </c>
      <c r="J114" s="12"/>
      <c r="K114" s="12"/>
      <c r="L114" s="12"/>
      <c r="M114" s="12"/>
      <c r="N114" s="12"/>
    </row>
    <row r="115" spans="1:11" ht="12.75">
      <c r="A115" s="4"/>
      <c r="B115" s="45"/>
      <c r="C115" s="103"/>
      <c r="D115" s="4"/>
      <c r="E115" s="45"/>
      <c r="F115" s="103"/>
      <c r="G115" s="4"/>
      <c r="H115" s="45"/>
      <c r="I115" s="103"/>
      <c r="J115" s="4"/>
      <c r="K115" s="4"/>
    </row>
    <row r="116" spans="1:14" ht="20.25">
      <c r="A116" s="80" t="s">
        <v>125</v>
      </c>
      <c r="B116" s="45"/>
      <c r="C116" s="103"/>
      <c r="D116" s="4"/>
      <c r="E116" s="45"/>
      <c r="F116" s="103"/>
      <c r="H116" s="48"/>
      <c r="I116" s="42"/>
      <c r="J116" s="299" t="s">
        <v>32</v>
      </c>
      <c r="K116" s="300"/>
      <c r="L116" s="300"/>
      <c r="M116" s="300"/>
      <c r="N116" s="301"/>
    </row>
    <row r="117" spans="1:14" ht="18" customHeight="1">
      <c r="A117" s="4"/>
      <c r="B117" s="48"/>
      <c r="C117" s="46"/>
      <c r="E117" s="48"/>
      <c r="F117" s="46"/>
      <c r="H117" s="48"/>
      <c r="I117" s="46" t="s">
        <v>247</v>
      </c>
      <c r="J117" s="100" t="s">
        <v>240</v>
      </c>
      <c r="K117" s="100"/>
      <c r="L117" s="100"/>
      <c r="M117" s="101"/>
      <c r="N117" s="266">
        <v>2.16</v>
      </c>
    </row>
    <row r="118" spans="1:14" ht="18" customHeight="1">
      <c r="A118" s="80"/>
      <c r="B118" s="48"/>
      <c r="C118" s="46"/>
      <c r="E118" s="48"/>
      <c r="F118" s="46"/>
      <c r="H118" s="152" t="s">
        <v>248</v>
      </c>
      <c r="I118" s="253">
        <v>32</v>
      </c>
      <c r="J118" s="435" t="s">
        <v>161</v>
      </c>
      <c r="K118" s="436"/>
      <c r="L118" s="436"/>
      <c r="M118" s="437"/>
      <c r="N118" s="282">
        <v>1.85</v>
      </c>
    </row>
    <row r="119" spans="2:14" ht="18" customHeight="1">
      <c r="B119" s="48"/>
      <c r="C119" s="46"/>
      <c r="E119" s="48"/>
      <c r="F119" s="46"/>
      <c r="H119" s="152" t="s">
        <v>249</v>
      </c>
      <c r="I119" s="253">
        <v>29</v>
      </c>
      <c r="J119" s="438"/>
      <c r="K119" s="439"/>
      <c r="L119" s="439"/>
      <c r="M119" s="440"/>
      <c r="N119" s="283"/>
    </row>
    <row r="120" spans="2:14" ht="18" customHeight="1">
      <c r="B120" s="48"/>
      <c r="C120" s="46"/>
      <c r="E120" s="48"/>
      <c r="F120" s="46"/>
      <c r="H120" s="48"/>
      <c r="I120" s="46"/>
      <c r="J120" s="86" t="s">
        <v>241</v>
      </c>
      <c r="K120" s="81"/>
      <c r="L120" s="81"/>
      <c r="M120" s="82"/>
      <c r="N120" s="83">
        <f>+N118+N117*2</f>
        <v>6.17</v>
      </c>
    </row>
    <row r="121" spans="2:14" ht="18" customHeight="1" thickBot="1">
      <c r="B121" s="48"/>
      <c r="C121" s="46"/>
      <c r="E121" s="48"/>
      <c r="F121" s="46"/>
      <c r="H121" s="48"/>
      <c r="I121" s="46"/>
      <c r="J121" s="84"/>
      <c r="K121" s="84"/>
      <c r="L121" s="84"/>
      <c r="N121" s="37"/>
    </row>
    <row r="122" spans="1:14" ht="18" customHeight="1">
      <c r="A122" s="4"/>
      <c r="B122" s="48"/>
      <c r="C122" s="46" t="s">
        <v>3</v>
      </c>
      <c r="E122" s="48"/>
      <c r="F122" s="46" t="s">
        <v>3</v>
      </c>
      <c r="H122" s="48"/>
      <c r="I122" s="46" t="s">
        <v>3</v>
      </c>
      <c r="J122" s="399" t="s">
        <v>162</v>
      </c>
      <c r="K122" s="400"/>
      <c r="L122" s="400"/>
      <c r="M122" s="401"/>
      <c r="N122" s="412">
        <f>2.4/N120*60</f>
        <v>23.338735818476497</v>
      </c>
    </row>
    <row r="123" spans="1:14" ht="18" customHeight="1" thickBot="1">
      <c r="A123" s="6" t="s">
        <v>157</v>
      </c>
      <c r="B123" s="48"/>
      <c r="C123" s="47">
        <f>C88*N126</f>
        <v>32.85</v>
      </c>
      <c r="E123" s="48"/>
      <c r="F123" s="49">
        <f>+F91*C123</f>
        <v>3252.15</v>
      </c>
      <c r="H123" s="48"/>
      <c r="I123" s="49">
        <f>+I118*I88*H94</f>
        <v>230.39999999999998</v>
      </c>
      <c r="J123" s="396" t="s">
        <v>242</v>
      </c>
      <c r="K123" s="397"/>
      <c r="L123" s="397"/>
      <c r="M123" s="398"/>
      <c r="N123" s="413"/>
    </row>
    <row r="124" spans="1:9" ht="18" customHeight="1" thickBot="1">
      <c r="A124" s="85"/>
      <c r="B124" s="48"/>
      <c r="C124" s="46"/>
      <c r="E124" s="48"/>
      <c r="F124" s="46"/>
      <c r="G124" s="84"/>
      <c r="H124" s="48"/>
      <c r="I124" s="46"/>
    </row>
    <row r="125" spans="1:14" ht="18" customHeight="1">
      <c r="A125" s="4"/>
      <c r="B125" s="48"/>
      <c r="C125" s="46" t="s">
        <v>4</v>
      </c>
      <c r="E125" s="48"/>
      <c r="F125" s="46" t="s">
        <v>4</v>
      </c>
      <c r="H125" s="48"/>
      <c r="I125" s="46" t="s">
        <v>4</v>
      </c>
      <c r="J125" s="404" t="s">
        <v>243</v>
      </c>
      <c r="K125" s="405"/>
      <c r="L125" s="405"/>
      <c r="M125" s="405"/>
      <c r="N125" s="406"/>
    </row>
    <row r="126" spans="1:14" ht="18" customHeight="1" thickBot="1">
      <c r="A126" s="7" t="s">
        <v>158</v>
      </c>
      <c r="B126" s="48"/>
      <c r="C126" s="49">
        <f>ROUNDUP(C123/$N$122,1)</f>
        <v>1.5</v>
      </c>
      <c r="E126" s="48"/>
      <c r="F126" s="49">
        <f>ROUNDUP(F123/$N$122,1)</f>
        <v>139.4</v>
      </c>
      <c r="H126" s="48"/>
      <c r="I126" s="49">
        <f>ROUNDUP(I123/$N$122,1)</f>
        <v>9.9</v>
      </c>
      <c r="J126" s="390" t="s">
        <v>202</v>
      </c>
      <c r="K126" s="391"/>
      <c r="L126" s="391"/>
      <c r="M126" s="391"/>
      <c r="N126" s="228">
        <v>9</v>
      </c>
    </row>
    <row r="127" spans="1:14" ht="18" customHeight="1">
      <c r="A127" s="114"/>
      <c r="B127" s="48"/>
      <c r="C127" s="46"/>
      <c r="E127" s="48"/>
      <c r="F127" s="46"/>
      <c r="H127" s="48"/>
      <c r="I127" s="46"/>
      <c r="K127" s="407" t="s">
        <v>83</v>
      </c>
      <c r="L127" s="408"/>
      <c r="M127" s="407" t="s">
        <v>25</v>
      </c>
      <c r="N127" s="411"/>
    </row>
    <row r="128" spans="1:14" ht="18" customHeight="1" thickBot="1">
      <c r="A128" s="42"/>
      <c r="B128" s="48"/>
      <c r="C128" s="46"/>
      <c r="E128" s="48"/>
      <c r="F128" s="46"/>
      <c r="H128" s="48"/>
      <c r="I128" s="46"/>
      <c r="K128" s="409">
        <f>+M128/C88</f>
        <v>1.400304414003044</v>
      </c>
      <c r="L128" s="410"/>
      <c r="M128" s="433">
        <f>+C92/N126</f>
        <v>5.111111111111111</v>
      </c>
      <c r="N128" s="434"/>
    </row>
    <row r="129" spans="1:14" ht="13.5" thickBot="1">
      <c r="A129" s="12"/>
      <c r="B129" s="53"/>
      <c r="C129" s="54"/>
      <c r="D129" s="12"/>
      <c r="E129" s="53"/>
      <c r="F129" s="54"/>
      <c r="G129" s="53"/>
      <c r="H129" s="53"/>
      <c r="I129" s="54"/>
      <c r="J129" s="12"/>
      <c r="K129" s="12"/>
      <c r="L129" s="12"/>
      <c r="M129" s="153"/>
      <c r="N129" s="153"/>
    </row>
    <row r="130" spans="1:11" ht="12.75">
      <c r="A130" s="4"/>
      <c r="B130" s="45"/>
      <c r="C130" s="42"/>
      <c r="D130" s="4"/>
      <c r="E130" s="45"/>
      <c r="F130" s="42"/>
      <c r="G130" s="4"/>
      <c r="H130" s="45"/>
      <c r="I130" s="42"/>
      <c r="J130" s="4"/>
      <c r="K130" s="4"/>
    </row>
    <row r="131" spans="1:14" ht="15.75">
      <c r="A131" s="4"/>
      <c r="B131" s="45"/>
      <c r="C131" s="42"/>
      <c r="D131" s="4"/>
      <c r="E131" s="45"/>
      <c r="F131" s="42"/>
      <c r="H131" s="45"/>
      <c r="I131" s="42"/>
      <c r="J131" s="299" t="s">
        <v>33</v>
      </c>
      <c r="K131" s="300"/>
      <c r="L131" s="300"/>
      <c r="M131" s="300"/>
      <c r="N131" s="301"/>
    </row>
    <row r="132" spans="1:14" ht="20.25">
      <c r="A132" s="80" t="s">
        <v>233</v>
      </c>
      <c r="B132" s="45"/>
      <c r="C132" s="42"/>
      <c r="D132" s="4"/>
      <c r="E132" s="45"/>
      <c r="F132" s="42"/>
      <c r="H132" s="45"/>
      <c r="I132" s="334" t="s">
        <v>54</v>
      </c>
      <c r="J132" s="7"/>
      <c r="K132" s="89" t="s">
        <v>203</v>
      </c>
      <c r="L132" s="218">
        <v>32</v>
      </c>
      <c r="M132" s="443" t="s">
        <v>245</v>
      </c>
      <c r="N132" s="444"/>
    </row>
    <row r="133" spans="2:14" ht="20.25" customHeight="1">
      <c r="B133" s="338" t="s">
        <v>205</v>
      </c>
      <c r="C133" s="42"/>
      <c r="D133" s="4"/>
      <c r="E133" s="48"/>
      <c r="F133" s="334" t="s">
        <v>54</v>
      </c>
      <c r="H133" s="48"/>
      <c r="I133" s="334"/>
      <c r="J133" s="90"/>
      <c r="K133" s="89" t="s">
        <v>166</v>
      </c>
      <c r="L133" s="219">
        <v>1.01</v>
      </c>
      <c r="M133" s="444"/>
      <c r="N133" s="444"/>
    </row>
    <row r="134" spans="1:14" ht="12.75">
      <c r="A134" s="4"/>
      <c r="B134" s="350"/>
      <c r="C134" s="46" t="s">
        <v>4</v>
      </c>
      <c r="E134" s="48"/>
      <c r="F134" s="335"/>
      <c r="H134" s="48"/>
      <c r="I134" s="335"/>
      <c r="M134" s="444"/>
      <c r="N134" s="444"/>
    </row>
    <row r="135" spans="1:14" ht="15.75" thickBot="1">
      <c r="A135" s="7" t="s">
        <v>169</v>
      </c>
      <c r="B135" s="191">
        <v>1.3</v>
      </c>
      <c r="C135" s="49">
        <f>ROUNDUP(N126*B135/60,1)</f>
        <v>0.2</v>
      </c>
      <c r="E135" s="48"/>
      <c r="F135" s="49">
        <f>ROUNDUP(C135*F91,1)</f>
        <v>19.8</v>
      </c>
      <c r="H135" s="48"/>
      <c r="I135" s="49">
        <f>ROUNDUP(+B135*I119*H94/60,1)</f>
        <v>1.9000000000000001</v>
      </c>
      <c r="J135" s="441" t="s">
        <v>167</v>
      </c>
      <c r="K135" s="442"/>
      <c r="L135" s="91">
        <f>POWER(L132/1000,2)*PI()/4*1000*L133</f>
        <v>0.8122901965121768</v>
      </c>
      <c r="M135" s="359">
        <f>+L135*C89/M128</f>
        <v>0.5641885169253055</v>
      </c>
      <c r="N135" s="360"/>
    </row>
    <row r="136" spans="2:9" ht="15" customHeight="1" thickBot="1">
      <c r="B136" s="45"/>
      <c r="C136" s="42"/>
      <c r="E136" s="48"/>
      <c r="F136" s="42"/>
      <c r="H136" s="48"/>
      <c r="I136" s="42"/>
    </row>
    <row r="137" spans="1:14" ht="15" customHeight="1" thickBot="1">
      <c r="A137" s="7" t="s">
        <v>82</v>
      </c>
      <c r="B137" s="45"/>
      <c r="C137" s="49">
        <f>ROUND(+M135*C92,0)</f>
        <v>26</v>
      </c>
      <c r="E137" s="48"/>
      <c r="F137" s="49">
        <f>ROUND(+M135*F92,0)</f>
        <v>2502</v>
      </c>
      <c r="H137" s="48"/>
      <c r="I137" s="49">
        <f>ROUND(+M135*I92*H94,0)</f>
        <v>49</v>
      </c>
      <c r="K137" s="364" t="s">
        <v>204</v>
      </c>
      <c r="L137" s="365"/>
      <c r="M137" s="366"/>
      <c r="N137" s="74">
        <f>+F91+H94</f>
        <v>102</v>
      </c>
    </row>
    <row r="138" spans="1:14" ht="13.5" thickBot="1">
      <c r="A138" s="12"/>
      <c r="B138" s="53"/>
      <c r="C138" s="54"/>
      <c r="D138" s="12"/>
      <c r="E138" s="53"/>
      <c r="F138" s="54"/>
      <c r="G138" s="12"/>
      <c r="H138" s="53"/>
      <c r="I138" s="54"/>
      <c r="J138" s="12"/>
      <c r="K138" s="12"/>
      <c r="L138" s="153"/>
      <c r="M138" s="153"/>
      <c r="N138" s="153"/>
    </row>
    <row r="140" spans="1:6" ht="20.25">
      <c r="A140" s="80" t="s">
        <v>174</v>
      </c>
      <c r="B140" s="4"/>
      <c r="C140" s="4"/>
      <c r="D140" s="4"/>
      <c r="E140" s="4"/>
      <c r="F140" s="4"/>
    </row>
    <row r="141" spans="2:6" ht="12.75">
      <c r="B141" s="84" t="s">
        <v>175</v>
      </c>
      <c r="C141" s="4"/>
      <c r="D141" s="4"/>
      <c r="E141" s="4"/>
      <c r="F141" s="4"/>
    </row>
    <row r="142" spans="2:6" ht="12.75" customHeight="1">
      <c r="B142" s="19" t="s">
        <v>27</v>
      </c>
      <c r="C142" s="4"/>
      <c r="D142" s="4"/>
      <c r="E142" s="4"/>
      <c r="F142" s="4"/>
    </row>
    <row r="143" spans="1:6" ht="12.75">
      <c r="A143" s="79" t="s">
        <v>12</v>
      </c>
      <c r="B143" s="19" t="s">
        <v>194</v>
      </c>
      <c r="C143" s="4"/>
      <c r="D143" s="4"/>
      <c r="E143" s="4"/>
      <c r="F143" s="19" t="s">
        <v>74</v>
      </c>
    </row>
    <row r="144" spans="1:6" ht="12.75">
      <c r="A144" s="78" t="s">
        <v>176</v>
      </c>
      <c r="B144" s="201">
        <v>0</v>
      </c>
      <c r="C144" s="4"/>
      <c r="D144" s="4"/>
      <c r="E144" s="4"/>
      <c r="F144" s="9">
        <f>+ROUNDUP(B144/60*N137,1)</f>
        <v>0</v>
      </c>
    </row>
    <row r="145" spans="1:14" ht="13.5" thickBo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ht="8.25" customHeight="1"/>
    <row r="147" ht="20.25">
      <c r="A147" s="21" t="s">
        <v>189</v>
      </c>
    </row>
    <row r="149" ht="18">
      <c r="A149" s="244" t="s">
        <v>188</v>
      </c>
    </row>
    <row r="150" spans="1:2" ht="12.75">
      <c r="A150" s="420" t="s">
        <v>206</v>
      </c>
      <c r="B150" s="421"/>
    </row>
    <row r="151" spans="1:10" ht="15.75" customHeight="1">
      <c r="A151" s="445" t="s">
        <v>207</v>
      </c>
      <c r="B151" s="446"/>
      <c r="C151" s="107" t="s">
        <v>8</v>
      </c>
      <c r="D151" s="14" t="s">
        <v>9</v>
      </c>
      <c r="E151" s="15" t="s">
        <v>6</v>
      </c>
      <c r="F151" s="15" t="s">
        <v>34</v>
      </c>
      <c r="G151" s="14" t="s">
        <v>7</v>
      </c>
      <c r="H151" s="14" t="s">
        <v>10</v>
      </c>
      <c r="I151" s="15" t="s">
        <v>11</v>
      </c>
      <c r="J151" s="176" t="s">
        <v>179</v>
      </c>
    </row>
    <row r="152" spans="1:10" ht="15">
      <c r="A152" s="385" t="s">
        <v>130</v>
      </c>
      <c r="B152" s="386"/>
      <c r="C152" s="150" t="s">
        <v>16</v>
      </c>
      <c r="D152" s="145">
        <f>+E33</f>
        <v>0.3333333333333333</v>
      </c>
      <c r="E152" s="145">
        <f>+E42</f>
        <v>0.16666666666666666</v>
      </c>
      <c r="F152" s="145">
        <f>M36/60+N53/60/N137</f>
        <v>0.1568627450980392</v>
      </c>
      <c r="G152" s="145">
        <f>+M40-M36/60</f>
        <v>0.6</v>
      </c>
      <c r="H152" s="146">
        <f>+B144/60</f>
        <v>0</v>
      </c>
      <c r="I152" s="146">
        <f>(+N57-N53/60)/N137</f>
        <v>0.01715686274509804</v>
      </c>
      <c r="J152" s="145">
        <f>SUM(C152:I152)</f>
        <v>1.2740196078431372</v>
      </c>
    </row>
    <row r="153" spans="1:10" ht="15">
      <c r="A153" s="387" t="s">
        <v>131</v>
      </c>
      <c r="B153" s="388"/>
      <c r="C153" s="177">
        <f>+C102</f>
        <v>0.9</v>
      </c>
      <c r="D153" s="145">
        <f>+C114</f>
        <v>2.1</v>
      </c>
      <c r="E153" s="145">
        <f>+C126</f>
        <v>1.5</v>
      </c>
      <c r="F153" s="147"/>
      <c r="G153" s="145">
        <f>+C135</f>
        <v>0.2</v>
      </c>
      <c r="H153" s="147"/>
      <c r="I153" s="147"/>
      <c r="J153" s="145">
        <f>SUM(C153:I153)</f>
        <v>4.7</v>
      </c>
    </row>
    <row r="155" spans="1:2" ht="12.75">
      <c r="A155" s="143" t="s">
        <v>75</v>
      </c>
      <c r="B155" s="142"/>
    </row>
    <row r="156" spans="1:2" ht="12.75">
      <c r="A156" s="143" t="s">
        <v>133</v>
      </c>
      <c r="B156" s="142"/>
    </row>
    <row r="157" spans="1:10" ht="15">
      <c r="A157" s="389" t="s">
        <v>132</v>
      </c>
      <c r="B157" s="389"/>
      <c r="C157" s="145">
        <f>+(C102)/C166</f>
        <v>0.45</v>
      </c>
      <c r="D157" s="145">
        <f>+(C114)/C166</f>
        <v>1.05</v>
      </c>
      <c r="E157" s="145">
        <f>(C126)/C166</f>
        <v>0.75</v>
      </c>
      <c r="F157" s="154"/>
      <c r="G157" s="145">
        <f>+(C135)/C166</f>
        <v>0.1</v>
      </c>
      <c r="H157" s="147"/>
      <c r="I157" s="147"/>
      <c r="J157" s="145">
        <f>SUM(C157:I157)</f>
        <v>2.35</v>
      </c>
    </row>
    <row r="158" spans="1:10" ht="15.75">
      <c r="A158" s="144" t="s">
        <v>250</v>
      </c>
      <c r="I158" s="149" t="s">
        <v>26</v>
      </c>
      <c r="J158" s="148">
        <f>+J152+J157</f>
        <v>3.6240196078431373</v>
      </c>
    </row>
    <row r="159" spans="9:10" ht="15">
      <c r="I159" s="16"/>
      <c r="J159" s="120" t="s">
        <v>35</v>
      </c>
    </row>
    <row r="160" spans="7:10" ht="15.75">
      <c r="G160" s="18"/>
      <c r="H160" s="18"/>
      <c r="I160" s="104" t="s">
        <v>209</v>
      </c>
      <c r="J160" s="221">
        <v>0.1</v>
      </c>
    </row>
    <row r="161" spans="4:11" ht="15">
      <c r="D161" s="23"/>
      <c r="H161" s="23"/>
      <c r="I161" s="149" t="s">
        <v>210</v>
      </c>
      <c r="J161" s="220">
        <f>+J158*J160*60</f>
        <v>21.744117647058825</v>
      </c>
      <c r="K161" s="161" t="s">
        <v>24</v>
      </c>
    </row>
    <row r="162" spans="9:10" ht="15.75" thickBot="1">
      <c r="I162" s="16"/>
      <c r="J162" s="120" t="s">
        <v>36</v>
      </c>
    </row>
    <row r="163" spans="7:11" ht="18.75" thickBot="1">
      <c r="G163" s="61"/>
      <c r="H163" s="61"/>
      <c r="I163" s="105" t="s">
        <v>211</v>
      </c>
      <c r="J163" s="222">
        <f>ROUNDUP(+J161/60+J158,1)</f>
        <v>4</v>
      </c>
      <c r="K163" s="18" t="s">
        <v>4</v>
      </c>
    </row>
    <row r="164" spans="9:10" ht="15">
      <c r="I164" s="16"/>
      <c r="J164" s="120" t="s">
        <v>35</v>
      </c>
    </row>
    <row r="165" spans="9:11" ht="18.75" thickBot="1">
      <c r="I165" s="105" t="s">
        <v>212</v>
      </c>
      <c r="J165" s="223">
        <f>E20</f>
        <v>2.183333333333333</v>
      </c>
      <c r="K165" s="18" t="s">
        <v>4</v>
      </c>
    </row>
    <row r="166" spans="2:11" ht="17.25" thickBot="1" thickTop="1">
      <c r="B166" s="112" t="s">
        <v>89</v>
      </c>
      <c r="C166" s="192">
        <v>2</v>
      </c>
      <c r="J166" s="119" t="s">
        <v>40</v>
      </c>
      <c r="K166" s="254"/>
    </row>
    <row r="167" spans="2:11" ht="24" thickBot="1">
      <c r="B167" s="112" t="s">
        <v>90</v>
      </c>
      <c r="C167" s="192">
        <v>8.5</v>
      </c>
      <c r="D167" s="113" t="s">
        <v>37</v>
      </c>
      <c r="I167" s="105" t="s">
        <v>266</v>
      </c>
      <c r="J167" s="222">
        <f>+J165+J163</f>
        <v>6.183333333333334</v>
      </c>
      <c r="K167" s="18" t="s">
        <v>4</v>
      </c>
    </row>
    <row r="168" ht="12.75">
      <c r="J168" s="43"/>
    </row>
    <row r="169" spans="7:10" ht="18">
      <c r="G169" s="61"/>
      <c r="H169" s="18"/>
      <c r="I169" s="104" t="s">
        <v>264</v>
      </c>
      <c r="J169" s="224">
        <f>+J163/C167</f>
        <v>0.47058823529411764</v>
      </c>
    </row>
    <row r="170" spans="7:10" ht="18">
      <c r="G170" s="61"/>
      <c r="H170" s="18"/>
      <c r="I170" s="104" t="s">
        <v>265</v>
      </c>
      <c r="J170" s="224">
        <f>+J167/C167</f>
        <v>0.7274509803921569</v>
      </c>
    </row>
    <row r="171" spans="1:14" ht="9" customHeight="1">
      <c r="A171" s="37"/>
      <c r="B171" s="37"/>
      <c r="C171" s="37"/>
      <c r="D171" s="37"/>
      <c r="E171" s="37"/>
      <c r="F171" s="37"/>
      <c r="G171" s="116"/>
      <c r="H171" s="117"/>
      <c r="I171" s="118"/>
      <c r="J171" s="37"/>
      <c r="K171" s="37"/>
      <c r="L171" s="37"/>
      <c r="M171" s="37"/>
      <c r="N171" s="37"/>
    </row>
    <row r="172" spans="1:11" ht="10.5" customHeight="1">
      <c r="A172" s="4"/>
      <c r="B172" s="4"/>
      <c r="C172" s="4"/>
      <c r="D172" s="4"/>
      <c r="E172" s="4"/>
      <c r="F172" s="4"/>
      <c r="G172" s="138"/>
      <c r="H172" s="139"/>
      <c r="I172" s="140"/>
      <c r="J172" s="4"/>
      <c r="K172" s="4"/>
    </row>
    <row r="173" ht="20.25">
      <c r="A173" s="21" t="s">
        <v>190</v>
      </c>
    </row>
    <row r="174" ht="14.25">
      <c r="A174" s="88" t="s">
        <v>213</v>
      </c>
    </row>
    <row r="175" ht="14.25">
      <c r="A175" s="88" t="s">
        <v>214</v>
      </c>
    </row>
    <row r="177" spans="1:4" ht="15">
      <c r="A177" s="22"/>
      <c r="C177" s="111" t="s">
        <v>215</v>
      </c>
      <c r="D177" s="259">
        <f>+C167</f>
        <v>8.5</v>
      </c>
    </row>
    <row r="178" spans="4:7" ht="15">
      <c r="D178" s="115" t="s">
        <v>38</v>
      </c>
      <c r="F178" s="454" t="str">
        <f>+I163</f>
        <v>temps total requis dans le chantier (incluant les imprévus)</v>
      </c>
      <c r="G178" s="455"/>
    </row>
    <row r="179" spans="1:11" ht="18.75" customHeight="1" thickBot="1">
      <c r="A179" s="61"/>
      <c r="B179" s="61"/>
      <c r="C179" s="106" t="s">
        <v>254</v>
      </c>
      <c r="D179" s="260">
        <f>+J165</f>
        <v>2.183333333333333</v>
      </c>
      <c r="F179" s="456"/>
      <c r="G179" s="457"/>
      <c r="I179" s="460" t="s">
        <v>84</v>
      </c>
      <c r="J179" s="461"/>
      <c r="K179" s="462"/>
    </row>
    <row r="180" spans="4:11" ht="15.75" thickTop="1">
      <c r="D180" s="115" t="s">
        <v>36</v>
      </c>
      <c r="F180" s="458"/>
      <c r="G180" s="459"/>
      <c r="I180" s="463"/>
      <c r="J180" s="464"/>
      <c r="K180" s="465"/>
    </row>
    <row r="181" spans="3:11" ht="15.75">
      <c r="C181" s="106" t="s">
        <v>255</v>
      </c>
      <c r="D181" s="261">
        <f>C167-J165</f>
        <v>6.316666666666666</v>
      </c>
      <c r="E181" s="8" t="s">
        <v>39</v>
      </c>
      <c r="F181" s="452">
        <f>+J163</f>
        <v>4</v>
      </c>
      <c r="G181" s="453"/>
      <c r="H181" s="115" t="s">
        <v>36</v>
      </c>
      <c r="I181" s="449">
        <f>D181/J163</f>
        <v>1.5791666666666666</v>
      </c>
      <c r="J181" s="450"/>
      <c r="K181" s="451"/>
    </row>
    <row r="182" spans="2:20" ht="38.25" customHeight="1">
      <c r="B182" s="468" t="str">
        <f>IF(I181&lt;1,"Est-il possible de faire des sautages durant le quart?  Si non, changer les paramètres pour obtenir un nombre entier ou légèrement supérieur à un entier.","Est-il possible de faire des sautages durant le quart? Si oui, optimiser les paramètres pour obtenir les résultats désirés.")</f>
        <v>Est-il possible de faire des sautages durant le quart? Si oui, optimiser les paramètres pour obtenir les résultats désirés.</v>
      </c>
      <c r="C182" s="469"/>
      <c r="D182" s="469"/>
      <c r="E182" s="469"/>
      <c r="F182" s="469"/>
      <c r="G182" s="469"/>
      <c r="H182" s="469"/>
      <c r="I182" s="469"/>
      <c r="J182" s="469"/>
      <c r="K182" s="470"/>
      <c r="P182" s="97"/>
      <c r="Q182" s="97"/>
      <c r="R182" s="97"/>
      <c r="S182" s="97"/>
      <c r="T182" s="97"/>
    </row>
    <row r="183" spans="1:14" ht="13.5" thickBot="1">
      <c r="A183" s="77"/>
      <c r="B183" s="77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ht="12.75">
      <c r="I184" s="4"/>
    </row>
    <row r="185" spans="1:12" ht="20.25">
      <c r="A185" s="21" t="s">
        <v>55</v>
      </c>
      <c r="I185" s="8"/>
      <c r="J185" s="10"/>
      <c r="L185" s="10"/>
    </row>
    <row r="186" spans="1:12" ht="20.25">
      <c r="A186" s="13"/>
      <c r="I186" s="14" t="s">
        <v>191</v>
      </c>
      <c r="J186" s="10"/>
      <c r="L186" s="10"/>
    </row>
    <row r="187" spans="1:11" ht="15.75">
      <c r="A187" s="447" t="s">
        <v>128</v>
      </c>
      <c r="B187" s="448"/>
      <c r="C187" s="14" t="s">
        <v>8</v>
      </c>
      <c r="D187" s="14" t="s">
        <v>9</v>
      </c>
      <c r="E187" s="15" t="s">
        <v>6</v>
      </c>
      <c r="F187" s="15" t="s">
        <v>34</v>
      </c>
      <c r="G187" s="14" t="s">
        <v>7</v>
      </c>
      <c r="H187" s="215" t="s">
        <v>10</v>
      </c>
      <c r="I187" s="217" t="s">
        <v>192</v>
      </c>
      <c r="J187" s="216" t="s">
        <v>11</v>
      </c>
      <c r="K187" s="8" t="s">
        <v>179</v>
      </c>
    </row>
    <row r="188" spans="1:11" ht="15">
      <c r="A188" s="385" t="s">
        <v>130</v>
      </c>
      <c r="B188" s="386"/>
      <c r="C188" s="150" t="s">
        <v>16</v>
      </c>
      <c r="D188" s="145">
        <f>+E33*N137</f>
        <v>34</v>
      </c>
      <c r="E188" s="145">
        <f>+E42*N137</f>
        <v>17</v>
      </c>
      <c r="F188" s="145">
        <f>+M36/60*N137+N53/60</f>
        <v>16</v>
      </c>
      <c r="G188" s="145">
        <f>(+M40-M36/60)*N137</f>
        <v>61.199999999999996</v>
      </c>
      <c r="H188" s="146">
        <f>+F144</f>
        <v>0</v>
      </c>
      <c r="I188" s="146">
        <f>+E57</f>
        <v>16</v>
      </c>
      <c r="J188" s="145">
        <f>+N57-N53/60</f>
        <v>1.75</v>
      </c>
      <c r="K188" s="145">
        <f>SUM(C188:J188)</f>
        <v>145.95</v>
      </c>
    </row>
    <row r="189" spans="1:11" ht="15">
      <c r="A189" s="387" t="s">
        <v>131</v>
      </c>
      <c r="B189" s="388"/>
      <c r="C189" s="155">
        <f>+F102+I102</f>
        <v>90.89999999999999</v>
      </c>
      <c r="D189" s="145">
        <f>+F114+I114</f>
        <v>212.1</v>
      </c>
      <c r="E189" s="145">
        <f>+F126+I126</f>
        <v>149.3</v>
      </c>
      <c r="F189" s="147"/>
      <c r="G189" s="145">
        <f>+F135+I137</f>
        <v>68.8</v>
      </c>
      <c r="H189" s="147"/>
      <c r="I189" s="147"/>
      <c r="J189" s="147"/>
      <c r="K189" s="145">
        <f>SUM(C189:J189)</f>
        <v>521.1</v>
      </c>
    </row>
    <row r="191" ht="12.75">
      <c r="A191" s="143" t="s">
        <v>75</v>
      </c>
    </row>
    <row r="192" ht="12.75">
      <c r="A192" s="143" t="s">
        <v>133</v>
      </c>
    </row>
    <row r="193" spans="1:11" ht="15">
      <c r="A193" s="389" t="s">
        <v>132</v>
      </c>
      <c r="B193" s="389"/>
      <c r="C193" s="155">
        <f>+(C189)/C200</f>
        <v>45.449999999999996</v>
      </c>
      <c r="D193" s="145">
        <f>+(D189)/C200</f>
        <v>106.05</v>
      </c>
      <c r="E193" s="145">
        <f>(E189)/C200</f>
        <v>74.65</v>
      </c>
      <c r="F193" s="147"/>
      <c r="G193" s="145">
        <f>+(G189)/C200</f>
        <v>34.4</v>
      </c>
      <c r="H193" s="147"/>
      <c r="I193" s="147"/>
      <c r="J193" s="147"/>
      <c r="K193" s="145">
        <f>SUM(C193:J193)</f>
        <v>260.55</v>
      </c>
    </row>
    <row r="194" spans="1:11" ht="15.75">
      <c r="A194" s="144" t="s">
        <v>250</v>
      </c>
      <c r="J194" s="149" t="s">
        <v>26</v>
      </c>
      <c r="K194" s="148">
        <f>+K188+K193</f>
        <v>406.5</v>
      </c>
    </row>
    <row r="196" ht="12.75">
      <c r="K196" s="8" t="s">
        <v>20</v>
      </c>
    </row>
    <row r="197" spans="1:13" ht="12.75">
      <c r="A197" s="4" t="s">
        <v>180</v>
      </c>
      <c r="B197" s="4"/>
      <c r="C197" s="11">
        <f>(C193)*$C$200</f>
        <v>90.89999999999999</v>
      </c>
      <c r="D197" s="11">
        <f>(D188+D193)*$C$200</f>
        <v>280.1</v>
      </c>
      <c r="E197" s="11">
        <f>(E188+E193)*$C$200</f>
        <v>183.3</v>
      </c>
      <c r="F197" s="11">
        <f>(F188+F193)*$C$200</f>
        <v>32</v>
      </c>
      <c r="G197" s="11">
        <f>(G188+G193)*$C$200</f>
        <v>191.2</v>
      </c>
      <c r="H197" s="11">
        <f>(H188)*$C$200</f>
        <v>0</v>
      </c>
      <c r="I197" s="11">
        <f>(I188)*$C$200</f>
        <v>32</v>
      </c>
      <c r="J197" s="11">
        <f>(J188)*$C$200</f>
        <v>3.5</v>
      </c>
      <c r="K197" s="17">
        <f>SUM(C197:J197)</f>
        <v>813</v>
      </c>
      <c r="L197" s="43"/>
      <c r="M197" s="43"/>
    </row>
    <row r="198" spans="1:12" ht="15.75">
      <c r="A198" s="4" t="s">
        <v>76</v>
      </c>
      <c r="B198" s="4"/>
      <c r="C198" s="11">
        <f aca="true" t="shared" si="4" ref="C198:J198">+C197/$C$201</f>
        <v>10.694117647058823</v>
      </c>
      <c r="D198" s="11">
        <f t="shared" si="4"/>
        <v>32.95294117647059</v>
      </c>
      <c r="E198" s="11">
        <f t="shared" si="4"/>
        <v>21.564705882352943</v>
      </c>
      <c r="F198" s="11">
        <f t="shared" si="4"/>
        <v>3.764705882352941</v>
      </c>
      <c r="G198" s="11">
        <f t="shared" si="4"/>
        <v>22.49411764705882</v>
      </c>
      <c r="H198" s="11">
        <f t="shared" si="4"/>
        <v>0</v>
      </c>
      <c r="I198" s="11">
        <f t="shared" si="4"/>
        <v>3.764705882352941</v>
      </c>
      <c r="J198" s="11">
        <f t="shared" si="4"/>
        <v>0.4117647058823529</v>
      </c>
      <c r="K198" s="168">
        <f>SUM(C198:J198)</f>
        <v>95.6470588235294</v>
      </c>
      <c r="L198" s="43"/>
    </row>
    <row r="199" ht="12.75">
      <c r="K199" s="8" t="s">
        <v>44</v>
      </c>
    </row>
    <row r="200" spans="1:11" ht="15.75">
      <c r="A200" s="84" t="s">
        <v>89</v>
      </c>
      <c r="C200" s="225">
        <f>+C166</f>
        <v>2</v>
      </c>
      <c r="F200" s="41"/>
      <c r="G200" s="226" t="s">
        <v>45</v>
      </c>
      <c r="H200" s="227">
        <f>+J160</f>
        <v>0.1</v>
      </c>
      <c r="J200" s="104" t="s">
        <v>78</v>
      </c>
      <c r="K200" s="168">
        <f>+K198*H200</f>
        <v>9.564705882352941</v>
      </c>
    </row>
    <row r="201" spans="1:11" ht="12.75">
      <c r="A201" s="84" t="s">
        <v>90</v>
      </c>
      <c r="B201" s="4"/>
      <c r="C201" s="225">
        <f>+C167</f>
        <v>8.5</v>
      </c>
      <c r="D201" s="41" t="s">
        <v>4</v>
      </c>
      <c r="J201" s="41"/>
      <c r="K201" s="8" t="s">
        <v>36</v>
      </c>
    </row>
    <row r="202" spans="5:11" ht="15.75">
      <c r="E202" s="271"/>
      <c r="G202" s="271"/>
      <c r="J202" s="104" t="s">
        <v>79</v>
      </c>
      <c r="K202" s="168">
        <f>+K200+K198</f>
        <v>105.21176470588235</v>
      </c>
    </row>
    <row r="203" spans="6:11" ht="12.75">
      <c r="F203" s="271"/>
      <c r="K203" s="8" t="s">
        <v>44</v>
      </c>
    </row>
    <row r="204" spans="10:13" ht="15.75">
      <c r="J204" s="104" t="s">
        <v>181</v>
      </c>
      <c r="K204" s="168">
        <f>+K202/(C201-J165)*J165</f>
        <v>36.366071705727144</v>
      </c>
      <c r="M204" s="43"/>
    </row>
    <row r="205" ht="12.75">
      <c r="K205" s="8" t="s">
        <v>40</v>
      </c>
    </row>
    <row r="206" spans="10:11" ht="15.75">
      <c r="J206" s="104" t="s">
        <v>182</v>
      </c>
      <c r="K206" s="168">
        <f>+K204+K202</f>
        <v>141.5778364116095</v>
      </c>
    </row>
    <row r="207" spans="9:11" ht="15.75">
      <c r="I207" s="149" t="s">
        <v>46</v>
      </c>
      <c r="J207" s="168">
        <f>+I181</f>
        <v>1.5791666666666666</v>
      </c>
      <c r="K207" s="41" t="s">
        <v>43</v>
      </c>
    </row>
    <row r="208" ht="13.5" thickBot="1"/>
    <row r="209" spans="6:12" ht="15.75">
      <c r="F209" s="104" t="s">
        <v>216</v>
      </c>
      <c r="G209" s="193">
        <v>1</v>
      </c>
      <c r="H209" s="126" t="s">
        <v>43</v>
      </c>
      <c r="J209" s="272"/>
      <c r="L209" s="270"/>
    </row>
    <row r="210" spans="6:7" ht="15.75">
      <c r="F210" s="104" t="s">
        <v>217</v>
      </c>
      <c r="G210" s="127">
        <f>G209/I181</f>
        <v>0.633245382585752</v>
      </c>
    </row>
    <row r="211" ht="12.75" customHeight="1">
      <c r="C211" s="87">
        <f>IF(G210&gt;1," Vous ne pouvez pas entrer un nombre d'avance supérieur  au nombre possible calculé ci-haut","")</f>
      </c>
    </row>
    <row r="212" ht="12.75" customHeight="1" thickBot="1">
      <c r="C212" s="87"/>
    </row>
    <row r="213" spans="2:7" ht="23.25" customHeight="1" thickBot="1" thickTop="1">
      <c r="B213" s="361" t="s">
        <v>80</v>
      </c>
      <c r="C213" s="362"/>
      <c r="D213" s="362"/>
      <c r="E213" s="362"/>
      <c r="F213" s="362"/>
      <c r="G213" s="363"/>
    </row>
    <row r="214" spans="2:11" ht="18" customHeight="1" thickBot="1">
      <c r="B214" s="376" t="s">
        <v>49</v>
      </c>
      <c r="C214" s="377"/>
      <c r="D214" s="377"/>
      <c r="E214" s="378"/>
      <c r="F214" s="157" t="s">
        <v>51</v>
      </c>
      <c r="G214" s="379" t="s">
        <v>53</v>
      </c>
      <c r="J214" s="63">
        <f>F92+I92*H94</f>
        <v>4522</v>
      </c>
      <c r="K214" t="s">
        <v>2</v>
      </c>
    </row>
    <row r="215" spans="2:7" ht="17.25" customHeight="1" thickBot="1">
      <c r="B215" s="130" t="s">
        <v>47</v>
      </c>
      <c r="C215" s="128" t="s">
        <v>48</v>
      </c>
      <c r="D215" s="381" t="s">
        <v>234</v>
      </c>
      <c r="E215" s="382"/>
      <c r="F215" s="129" t="s">
        <v>50</v>
      </c>
      <c r="G215" s="380"/>
    </row>
    <row r="216" spans="1:11" ht="25.5" customHeight="1" thickBot="1">
      <c r="A216" s="104"/>
      <c r="B216" s="131">
        <f>+D216/(1+J160)</f>
        <v>141.95060335322742</v>
      </c>
      <c r="C216" s="132">
        <f>+D216-B216</f>
        <v>14.19506033532275</v>
      </c>
      <c r="D216" s="466">
        <f>+G216-F216</f>
        <v>156.14566368855017</v>
      </c>
      <c r="E216" s="467"/>
      <c r="F216" s="133">
        <f>+G216*D179/D177</f>
        <v>53.97119246226931</v>
      </c>
      <c r="G216" s="134">
        <f>((N137-H94)/G209+I188*(1+J160)/D181+IF(H94=0,0,2*H94/G239*G209/G239))*C166</f>
        <v>210.11685615081947</v>
      </c>
      <c r="H216" s="372" t="s">
        <v>52</v>
      </c>
      <c r="I216" s="373"/>
      <c r="J216" s="62">
        <f>+J214/G216</f>
        <v>21.521357604713828</v>
      </c>
      <c r="K216" t="s">
        <v>183</v>
      </c>
    </row>
    <row r="217" spans="2:7" ht="13.5" thickTop="1">
      <c r="B217" s="135">
        <f>+B216/$G$216</f>
        <v>0.6755793226381462</v>
      </c>
      <c r="C217" s="267">
        <f>+C216/$G$216</f>
        <v>0.06755793226381467</v>
      </c>
      <c r="D217" s="374">
        <f>+D216/$G$216</f>
        <v>0.7431372549019608</v>
      </c>
      <c r="E217" s="375"/>
      <c r="F217" s="136">
        <f>+F216/$G$216</f>
        <v>0.2568627450980392</v>
      </c>
      <c r="G217" s="137">
        <f>+F217+D217</f>
        <v>1</v>
      </c>
    </row>
    <row r="218" spans="1:10" ht="15.75">
      <c r="A218" s="104"/>
      <c r="B218" s="277"/>
      <c r="C218" s="278"/>
      <c r="D218" s="278"/>
      <c r="E218" s="278"/>
      <c r="F218" s="278"/>
      <c r="G218" s="278"/>
      <c r="H218" s="279"/>
      <c r="I218" s="280"/>
      <c r="J218" s="281"/>
    </row>
    <row r="219" spans="1:10" ht="15.75">
      <c r="A219" s="104"/>
      <c r="B219" s="277"/>
      <c r="C219" s="278"/>
      <c r="D219" s="278"/>
      <c r="E219" s="278"/>
      <c r="F219" s="278"/>
      <c r="G219" s="278"/>
      <c r="H219" s="279"/>
      <c r="I219" s="280"/>
      <c r="J219" s="281"/>
    </row>
    <row r="220" spans="1:10" ht="15.75">
      <c r="A220" s="104"/>
      <c r="B220" s="277"/>
      <c r="C220" s="278"/>
      <c r="D220" s="278"/>
      <c r="E220" s="278"/>
      <c r="F220" s="278"/>
      <c r="G220" s="278"/>
      <c r="H220" s="279"/>
      <c r="I220" s="280"/>
      <c r="J220" s="281"/>
    </row>
    <row r="222" spans="1:9" ht="14.25">
      <c r="A222" s="123" t="s">
        <v>262</v>
      </c>
      <c r="E222" s="123" t="s">
        <v>223</v>
      </c>
      <c r="I222" s="123" t="s">
        <v>226</v>
      </c>
    </row>
    <row r="223" spans="1:11" ht="12.75">
      <c r="A223" s="4" t="s">
        <v>218</v>
      </c>
      <c r="B223" s="17">
        <f>+K197</f>
        <v>813</v>
      </c>
      <c r="E223" s="4"/>
      <c r="F223" s="125" t="s">
        <v>87</v>
      </c>
      <c r="G223" s="17">
        <f>+B231</f>
        <v>105.21176470588235</v>
      </c>
      <c r="J223" s="16" t="str">
        <f>+F231</f>
        <v>Nombre de quarts requis (horaire) </v>
      </c>
      <c r="K223" s="17">
        <f>+G231</f>
        <v>70.78891820580475</v>
      </c>
    </row>
    <row r="224" spans="1:11" ht="12.75">
      <c r="A224" s="4"/>
      <c r="B224" s="8" t="s">
        <v>39</v>
      </c>
      <c r="F224" s="4"/>
      <c r="G224" s="8" t="s">
        <v>39</v>
      </c>
      <c r="K224" s="8" t="s">
        <v>41</v>
      </c>
    </row>
    <row r="225" spans="1:11" ht="12.75">
      <c r="A225" s="4" t="s">
        <v>219</v>
      </c>
      <c r="B225" s="121">
        <f>+C201</f>
        <v>8.5</v>
      </c>
      <c r="F225" s="125" t="s">
        <v>224</v>
      </c>
      <c r="G225" s="11">
        <f>+D181</f>
        <v>6.316666666666666</v>
      </c>
      <c r="J225" s="16" t="s">
        <v>227</v>
      </c>
      <c r="K225" s="121">
        <f>+J165</f>
        <v>2.183333333333333</v>
      </c>
    </row>
    <row r="226" spans="1:11" ht="12.75">
      <c r="A226" s="4"/>
      <c r="B226" s="8" t="s">
        <v>40</v>
      </c>
      <c r="F226" s="4"/>
      <c r="G226" s="8" t="s">
        <v>41</v>
      </c>
      <c r="K226" s="8" t="s">
        <v>39</v>
      </c>
    </row>
    <row r="227" spans="1:11" ht="12.75">
      <c r="A227" s="4" t="s">
        <v>86</v>
      </c>
      <c r="B227" s="17">
        <f>+B223/B225</f>
        <v>95.6470588235294</v>
      </c>
      <c r="E227" s="264" t="s">
        <v>219</v>
      </c>
      <c r="F227" s="265"/>
      <c r="G227" s="121">
        <f>+B225</f>
        <v>8.5</v>
      </c>
      <c r="J227" s="4" t="s">
        <v>219</v>
      </c>
      <c r="K227" s="121">
        <f>+B225</f>
        <v>8.5</v>
      </c>
    </row>
    <row r="228" spans="1:11" ht="12.75">
      <c r="A228" s="4"/>
      <c r="B228" s="8" t="s">
        <v>35</v>
      </c>
      <c r="F228" s="4"/>
      <c r="G228" s="8" t="s">
        <v>39</v>
      </c>
      <c r="K228" s="8" t="s">
        <v>36</v>
      </c>
    </row>
    <row r="229" spans="1:11" ht="12.75">
      <c r="A229" s="4" t="s">
        <v>85</v>
      </c>
      <c r="B229" s="122">
        <f>+J160</f>
        <v>0.1</v>
      </c>
      <c r="E229" s="264" t="s">
        <v>221</v>
      </c>
      <c r="G229" s="2">
        <f>+C200</f>
        <v>2</v>
      </c>
      <c r="I229" s="402" t="s">
        <v>260</v>
      </c>
      <c r="J229" s="403"/>
      <c r="K229" s="124">
        <f>+K223*K225/K227</f>
        <v>18.183035852863572</v>
      </c>
    </row>
    <row r="230" spans="1:10" ht="12.75">
      <c r="A230" s="4"/>
      <c r="B230" s="8" t="s">
        <v>36</v>
      </c>
      <c r="G230" s="8" t="s">
        <v>36</v>
      </c>
      <c r="I230" s="402" t="s">
        <v>261</v>
      </c>
      <c r="J230" s="402"/>
    </row>
    <row r="231" spans="1:7" ht="12.75">
      <c r="A231" s="4" t="s">
        <v>87</v>
      </c>
      <c r="B231" s="17">
        <f>+B229*B227+B227</f>
        <v>105.21176470588235</v>
      </c>
      <c r="F231" s="16" t="s">
        <v>225</v>
      </c>
      <c r="G231" s="17">
        <f>+G223/G225*G227/G229</f>
        <v>70.78891820580475</v>
      </c>
    </row>
    <row r="234" spans="1:7" ht="14.25">
      <c r="A234" s="123" t="s">
        <v>263</v>
      </c>
      <c r="G234" s="273" t="s">
        <v>268</v>
      </c>
    </row>
    <row r="235" spans="1:7" ht="12.75">
      <c r="A235" s="176" t="s">
        <v>220</v>
      </c>
      <c r="B235" s="124">
        <f>+G231</f>
        <v>70.78891820580475</v>
      </c>
      <c r="F235" s="16" t="s">
        <v>272</v>
      </c>
      <c r="G235" s="274">
        <f>IF(H94=0,0,(J152+(I102+I114+I126+I135)/C166/H94)*(1+J160))</f>
        <v>4.664754901960785</v>
      </c>
    </row>
    <row r="236" spans="2:7" ht="14.25">
      <c r="B236" s="8" t="s">
        <v>41</v>
      </c>
      <c r="E236" s="123"/>
      <c r="G236" s="8" t="s">
        <v>39</v>
      </c>
    </row>
    <row r="237" spans="1:7" ht="12.75">
      <c r="A237" s="176" t="s">
        <v>221</v>
      </c>
      <c r="B237" s="2">
        <f>+G229</f>
        <v>2</v>
      </c>
      <c r="F237" s="125" t="s">
        <v>224</v>
      </c>
      <c r="G237" s="11">
        <f>+D181</f>
        <v>6.316666666666666</v>
      </c>
    </row>
    <row r="238" spans="2:7" ht="12.75">
      <c r="B238" s="8" t="s">
        <v>36</v>
      </c>
      <c r="G238" s="8" t="s">
        <v>40</v>
      </c>
    </row>
    <row r="239" spans="1:7" ht="12.75">
      <c r="A239" s="176" t="s">
        <v>222</v>
      </c>
      <c r="B239" s="17">
        <f>+B237*B235</f>
        <v>141.5778364116095</v>
      </c>
      <c r="F239" s="16" t="s">
        <v>269</v>
      </c>
      <c r="G239" s="17">
        <f>IF(H94=0,0,D181/G235)</f>
        <v>1.354126165130673</v>
      </c>
    </row>
    <row r="240" spans="1:3" ht="12.75">
      <c r="A240" s="176" t="s">
        <v>42</v>
      </c>
      <c r="B240" s="17">
        <f>+I181</f>
        <v>1.5791666666666666</v>
      </c>
      <c r="C240" t="s">
        <v>43</v>
      </c>
    </row>
  </sheetData>
  <mergeCells count="87">
    <mergeCell ref="H94:I94"/>
    <mergeCell ref="H85:I85"/>
    <mergeCell ref="H86:I86"/>
    <mergeCell ref="D217:E217"/>
    <mergeCell ref="H216:I216"/>
    <mergeCell ref="G214:G215"/>
    <mergeCell ref="A189:B189"/>
    <mergeCell ref="A157:B157"/>
    <mergeCell ref="A188:B188"/>
    <mergeCell ref="B182:K182"/>
    <mergeCell ref="A193:B193"/>
    <mergeCell ref="D215:E215"/>
    <mergeCell ref="D216:E216"/>
    <mergeCell ref="B214:E214"/>
    <mergeCell ref="B213:G213"/>
    <mergeCell ref="A151:B151"/>
    <mergeCell ref="A187:B187"/>
    <mergeCell ref="I181:K181"/>
    <mergeCell ref="F181:G181"/>
    <mergeCell ref="A152:B152"/>
    <mergeCell ref="F178:G180"/>
    <mergeCell ref="I179:K180"/>
    <mergeCell ref="A153:B153"/>
    <mergeCell ref="J135:K135"/>
    <mergeCell ref="M132:N134"/>
    <mergeCell ref="F133:F134"/>
    <mergeCell ref="K137:M137"/>
    <mergeCell ref="I132:I134"/>
    <mergeCell ref="I52:K52"/>
    <mergeCell ref="I54:K54"/>
    <mergeCell ref="M128:N128"/>
    <mergeCell ref="M135:N135"/>
    <mergeCell ref="J131:N131"/>
    <mergeCell ref="I55:K55"/>
    <mergeCell ref="J118:M119"/>
    <mergeCell ref="J109:K109"/>
    <mergeCell ref="J110:K110"/>
    <mergeCell ref="J111:K111"/>
    <mergeCell ref="M26:M27"/>
    <mergeCell ref="L106:L108"/>
    <mergeCell ref="M106:M108"/>
    <mergeCell ref="J105:N105"/>
    <mergeCell ref="N106:N108"/>
    <mergeCell ref="J106:K107"/>
    <mergeCell ref="L48:L49"/>
    <mergeCell ref="I50:J50"/>
    <mergeCell ref="J108:K108"/>
    <mergeCell ref="N48:N49"/>
    <mergeCell ref="A150:B150"/>
    <mergeCell ref="B133:B134"/>
    <mergeCell ref="B86:C86"/>
    <mergeCell ref="A101:A102"/>
    <mergeCell ref="B109:B111"/>
    <mergeCell ref="C8:C9"/>
    <mergeCell ref="K26:K27"/>
    <mergeCell ref="D8:D9"/>
    <mergeCell ref="C26:C27"/>
    <mergeCell ref="E26:E27"/>
    <mergeCell ref="E8:E9"/>
    <mergeCell ref="D26:D27"/>
    <mergeCell ref="I8:L9"/>
    <mergeCell ref="L26:L27"/>
    <mergeCell ref="C36:C37"/>
    <mergeCell ref="E36:E37"/>
    <mergeCell ref="D36:D37"/>
    <mergeCell ref="C48:C49"/>
    <mergeCell ref="E48:E49"/>
    <mergeCell ref="I230:J230"/>
    <mergeCell ref="I229:J229"/>
    <mergeCell ref="J116:N116"/>
    <mergeCell ref="F100:F101"/>
    <mergeCell ref="J125:N125"/>
    <mergeCell ref="K127:L127"/>
    <mergeCell ref="K128:L128"/>
    <mergeCell ref="M127:N127"/>
    <mergeCell ref="N118:N119"/>
    <mergeCell ref="N122:N123"/>
    <mergeCell ref="J126:M126"/>
    <mergeCell ref="H93:I93"/>
    <mergeCell ref="B85:C85"/>
    <mergeCell ref="D48:D49"/>
    <mergeCell ref="E86:F86"/>
    <mergeCell ref="I51:J51"/>
    <mergeCell ref="M48:M49"/>
    <mergeCell ref="E85:F85"/>
    <mergeCell ref="J123:M123"/>
    <mergeCell ref="J122:M122"/>
  </mergeCells>
  <printOptions/>
  <pageMargins left="0.43" right="0.32" top="1" bottom="1" header="0.4921259845" footer="0.4921259845"/>
  <pageSetup cellComments="asDisplayed" horizontalDpi="600" verticalDpi="600" orientation="landscape" scale="67" r:id="rId4"/>
  <headerFooter alignWithMargins="0">
    <oddFooter>&amp;LFichier : &amp;F
Onglet : &amp;A
Page &amp;P de &amp;N&amp;CMine-laboratoire
Val-d'Or&amp;R&amp;D
&amp;T</oddFooter>
  </headerFooter>
  <rowBreaks count="3" manualBreakCount="3">
    <brk id="79" max="13" man="1"/>
    <brk id="114" max="13" man="1"/>
    <brk id="145" max="1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4.25">
      <c r="E1" s="23" t="s">
        <v>267</v>
      </c>
    </row>
    <row r="3" ht="13.5" thickBot="1">
      <c r="F3" s="12"/>
    </row>
    <row r="4" spans="1:7" ht="12.75">
      <c r="A4" s="178"/>
      <c r="B4" s="179"/>
      <c r="C4" s="179"/>
      <c r="D4" s="179"/>
      <c r="E4" s="179"/>
      <c r="G4" s="180"/>
    </row>
    <row r="5" spans="1:7" ht="12.75">
      <c r="A5" s="45"/>
      <c r="B5" s="4"/>
      <c r="C5" s="4"/>
      <c r="D5" s="4"/>
      <c r="E5" s="4"/>
      <c r="F5" s="4"/>
      <c r="G5" s="42"/>
    </row>
    <row r="6" spans="1:7" ht="12.75">
      <c r="A6" s="45"/>
      <c r="B6" s="4"/>
      <c r="C6" s="4"/>
      <c r="D6" s="4"/>
      <c r="E6" s="4"/>
      <c r="F6" s="4"/>
      <c r="G6" s="42"/>
    </row>
    <row r="7" spans="1:7" ht="12.75">
      <c r="A7" s="45"/>
      <c r="B7" s="4"/>
      <c r="C7" s="4"/>
      <c r="D7" s="4"/>
      <c r="E7" s="4"/>
      <c r="F7" s="4"/>
      <c r="G7" s="42"/>
    </row>
    <row r="8" spans="1:7" ht="12.75">
      <c r="A8" s="45"/>
      <c r="B8" s="4"/>
      <c r="C8" s="4"/>
      <c r="D8" s="4"/>
      <c r="E8" s="4"/>
      <c r="F8" s="4"/>
      <c r="G8" s="42"/>
    </row>
    <row r="9" spans="1:7" ht="12.75">
      <c r="A9" s="45"/>
      <c r="B9" s="4"/>
      <c r="C9" s="4"/>
      <c r="D9" s="4"/>
      <c r="E9" s="4"/>
      <c r="F9" s="4"/>
      <c r="G9" s="42"/>
    </row>
    <row r="10" spans="1:7" ht="12.75">
      <c r="A10" s="45"/>
      <c r="B10" s="4"/>
      <c r="C10" s="4"/>
      <c r="D10" s="4"/>
      <c r="E10" s="4"/>
      <c r="F10" s="4"/>
      <c r="G10" s="42"/>
    </row>
    <row r="11" spans="1:7" ht="12.75">
      <c r="A11" s="45"/>
      <c r="B11" s="4"/>
      <c r="C11" s="4"/>
      <c r="D11" s="4"/>
      <c r="E11" s="4"/>
      <c r="F11" s="4"/>
      <c r="G11" s="42"/>
    </row>
    <row r="12" spans="1:7" ht="12.75">
      <c r="A12" s="45"/>
      <c r="B12" s="4"/>
      <c r="C12" s="4"/>
      <c r="D12" s="4"/>
      <c r="E12" s="4"/>
      <c r="F12" s="4"/>
      <c r="G12" s="42"/>
    </row>
    <row r="13" spans="1:7" ht="12.75">
      <c r="A13" s="45"/>
      <c r="B13" s="4"/>
      <c r="C13" s="4"/>
      <c r="D13" s="4"/>
      <c r="E13" s="4"/>
      <c r="F13" s="4"/>
      <c r="G13" s="42"/>
    </row>
    <row r="14" spans="1:7" ht="12.75">
      <c r="A14" s="45"/>
      <c r="B14" s="4"/>
      <c r="C14" s="4"/>
      <c r="D14" s="4"/>
      <c r="E14" s="4"/>
      <c r="F14" s="4"/>
      <c r="G14" s="42"/>
    </row>
    <row r="15" spans="1:7" ht="12.75">
      <c r="A15" s="45"/>
      <c r="B15" s="4"/>
      <c r="C15" s="4"/>
      <c r="D15" s="4"/>
      <c r="E15" s="4"/>
      <c r="F15" s="4"/>
      <c r="G15" s="42"/>
    </row>
    <row r="16" spans="1:7" ht="12.75">
      <c r="A16" s="45"/>
      <c r="B16" s="4"/>
      <c r="C16" s="4"/>
      <c r="D16" s="4"/>
      <c r="E16" s="4"/>
      <c r="F16" s="4"/>
      <c r="G16" s="42"/>
    </row>
    <row r="17" spans="1:7" ht="13.5" thickBot="1">
      <c r="A17" s="53"/>
      <c r="B17" s="12"/>
      <c r="C17" s="12"/>
      <c r="D17" s="12"/>
      <c r="E17" s="12"/>
      <c r="F17" s="12"/>
      <c r="G17" s="54"/>
    </row>
    <row r="18" spans="1:7" ht="12.75">
      <c r="A18" s="178"/>
      <c r="B18" s="179"/>
      <c r="C18" s="179"/>
      <c r="D18" s="179"/>
      <c r="E18" s="179"/>
      <c r="F18" s="179"/>
      <c r="G18" s="180"/>
    </row>
    <row r="19" spans="1:7" ht="12.75">
      <c r="A19" s="45"/>
      <c r="B19" s="4"/>
      <c r="C19" s="4"/>
      <c r="D19" s="4"/>
      <c r="E19" s="4"/>
      <c r="F19" s="4"/>
      <c r="G19" s="42"/>
    </row>
    <row r="20" spans="1:7" ht="12.75">
      <c r="A20" s="45"/>
      <c r="B20" s="4"/>
      <c r="C20" s="4"/>
      <c r="D20" s="4"/>
      <c r="E20" s="4"/>
      <c r="F20" s="4"/>
      <c r="G20" s="42"/>
    </row>
    <row r="21" spans="1:7" ht="12.75">
      <c r="A21" s="45"/>
      <c r="B21" s="4"/>
      <c r="C21" s="4"/>
      <c r="D21" s="4"/>
      <c r="E21" s="4"/>
      <c r="F21" s="4"/>
      <c r="G21" s="42"/>
    </row>
    <row r="22" spans="1:7" ht="12.75">
      <c r="A22" s="45"/>
      <c r="B22" s="4"/>
      <c r="C22" s="4"/>
      <c r="D22" s="4"/>
      <c r="E22" s="4"/>
      <c r="F22" s="4"/>
      <c r="G22" s="42"/>
    </row>
    <row r="23" spans="1:7" ht="12.75">
      <c r="A23" s="45"/>
      <c r="B23" s="4"/>
      <c r="C23" s="4"/>
      <c r="D23" s="4"/>
      <c r="E23" s="4"/>
      <c r="F23" s="4"/>
      <c r="G23" s="42"/>
    </row>
    <row r="24" spans="1:7" ht="12.75">
      <c r="A24" s="45"/>
      <c r="B24" s="4"/>
      <c r="C24" s="4"/>
      <c r="D24" s="4"/>
      <c r="E24" s="4"/>
      <c r="F24" s="4"/>
      <c r="G24" s="42"/>
    </row>
    <row r="25" spans="1:7" ht="12.75">
      <c r="A25" s="45"/>
      <c r="B25" s="4"/>
      <c r="C25" s="4"/>
      <c r="D25" s="4"/>
      <c r="E25" s="4"/>
      <c r="F25" s="4"/>
      <c r="G25" s="42"/>
    </row>
    <row r="26" spans="1:7" ht="12.75">
      <c r="A26" s="45"/>
      <c r="B26" s="4"/>
      <c r="C26" s="4"/>
      <c r="D26" s="4"/>
      <c r="E26" s="4"/>
      <c r="F26" s="4"/>
      <c r="G26" s="42"/>
    </row>
    <row r="27" spans="1:7" ht="12.75">
      <c r="A27" s="45"/>
      <c r="B27" s="4"/>
      <c r="C27" s="4"/>
      <c r="D27" s="4"/>
      <c r="E27" s="4"/>
      <c r="F27" s="4"/>
      <c r="G27" s="42"/>
    </row>
    <row r="28" spans="1:7" ht="12.75">
      <c r="A28" s="45"/>
      <c r="B28" s="4"/>
      <c r="C28" s="4"/>
      <c r="D28" s="4"/>
      <c r="E28" s="4"/>
      <c r="F28" s="4"/>
      <c r="G28" s="42"/>
    </row>
    <row r="29" spans="1:7" ht="12.75">
      <c r="A29" s="45"/>
      <c r="B29" s="4"/>
      <c r="C29" s="4"/>
      <c r="D29" s="4"/>
      <c r="E29" s="4"/>
      <c r="F29" s="4"/>
      <c r="G29" s="42"/>
    </row>
    <row r="30" spans="1:7" ht="12.75">
      <c r="A30" s="45"/>
      <c r="B30" s="4"/>
      <c r="C30" s="4"/>
      <c r="D30" s="4"/>
      <c r="E30" s="4"/>
      <c r="F30" s="4"/>
      <c r="G30" s="42"/>
    </row>
    <row r="31" spans="1:7" ht="12.75">
      <c r="A31" s="45"/>
      <c r="B31" s="4"/>
      <c r="C31" s="4"/>
      <c r="D31" s="4"/>
      <c r="E31" s="4"/>
      <c r="F31" s="4"/>
      <c r="G31" s="42"/>
    </row>
    <row r="32" spans="1:7" ht="12.75">
      <c r="A32" s="45"/>
      <c r="B32" s="4"/>
      <c r="C32" s="4"/>
      <c r="D32" s="4"/>
      <c r="E32" s="4"/>
      <c r="F32" s="4"/>
      <c r="G32" s="42"/>
    </row>
    <row r="33" spans="1:7" ht="12.75">
      <c r="A33" s="45"/>
      <c r="B33" s="4"/>
      <c r="C33" s="4"/>
      <c r="D33" s="4"/>
      <c r="E33" s="4"/>
      <c r="F33" s="4"/>
      <c r="G33" s="42"/>
    </row>
    <row r="34" spans="1:7" ht="12.75">
      <c r="A34" s="45"/>
      <c r="B34" s="4"/>
      <c r="C34" s="4"/>
      <c r="D34" s="4"/>
      <c r="E34" s="4"/>
      <c r="F34" s="4"/>
      <c r="G34" s="42"/>
    </row>
    <row r="35" spans="1:7" ht="12.75">
      <c r="A35" s="45"/>
      <c r="B35" s="4"/>
      <c r="C35" s="4"/>
      <c r="D35" s="4"/>
      <c r="E35" s="4"/>
      <c r="F35" s="4"/>
      <c r="G35" s="42"/>
    </row>
    <row r="36" spans="1:7" ht="12.75">
      <c r="A36" s="45"/>
      <c r="B36" s="4"/>
      <c r="C36" s="4"/>
      <c r="D36" s="4"/>
      <c r="E36" s="4"/>
      <c r="F36" s="4"/>
      <c r="G36" s="42"/>
    </row>
    <row r="37" spans="1:7" ht="12.75">
      <c r="A37" s="45"/>
      <c r="B37" s="4"/>
      <c r="C37" s="4"/>
      <c r="D37" s="4"/>
      <c r="E37" s="4"/>
      <c r="F37" s="4"/>
      <c r="G37" s="42"/>
    </row>
    <row r="38" spans="1:7" ht="13.5" thickBot="1">
      <c r="A38" s="53"/>
      <c r="B38" s="12"/>
      <c r="C38" s="12"/>
      <c r="D38" s="12"/>
      <c r="E38" s="12"/>
      <c r="F38" s="12"/>
      <c r="G38" s="54"/>
    </row>
    <row r="39" spans="1:7" ht="12.75">
      <c r="A39" s="178"/>
      <c r="B39" s="179"/>
      <c r="C39" s="179"/>
      <c r="D39" s="179"/>
      <c r="E39" s="179"/>
      <c r="F39" s="179"/>
      <c r="G39" s="180"/>
    </row>
    <row r="40" spans="1:7" ht="12.75">
      <c r="A40" s="45"/>
      <c r="B40" s="4"/>
      <c r="C40" s="4"/>
      <c r="D40" s="4"/>
      <c r="E40" s="4"/>
      <c r="F40" s="4"/>
      <c r="G40" s="42"/>
    </row>
    <row r="41" spans="1:7" ht="12.75">
      <c r="A41" s="45"/>
      <c r="B41" s="4"/>
      <c r="C41" s="4"/>
      <c r="D41" s="4"/>
      <c r="E41" s="4"/>
      <c r="F41" s="4"/>
      <c r="G41" s="42"/>
    </row>
    <row r="42" spans="1:7" ht="12.75">
      <c r="A42" s="45"/>
      <c r="B42" s="4"/>
      <c r="C42" s="4"/>
      <c r="D42" s="4"/>
      <c r="E42" s="4"/>
      <c r="F42" s="4"/>
      <c r="G42" s="42"/>
    </row>
    <row r="43" spans="1:7" ht="12.75">
      <c r="A43" s="45"/>
      <c r="B43" s="4"/>
      <c r="C43" s="4"/>
      <c r="D43" s="4"/>
      <c r="E43" s="4"/>
      <c r="F43" s="4"/>
      <c r="G43" s="42"/>
    </row>
    <row r="44" spans="1:7" ht="12.75">
      <c r="A44" s="45"/>
      <c r="B44" s="4"/>
      <c r="C44" s="4"/>
      <c r="D44" s="4"/>
      <c r="E44" s="4"/>
      <c r="F44" s="4"/>
      <c r="G44" s="42"/>
    </row>
    <row r="45" spans="1:7" ht="12.75">
      <c r="A45" s="45"/>
      <c r="B45" s="4"/>
      <c r="C45" s="4"/>
      <c r="D45" s="4"/>
      <c r="E45" s="4"/>
      <c r="F45" s="4"/>
      <c r="G45" s="42"/>
    </row>
    <row r="46" spans="1:7" ht="12.75">
      <c r="A46" s="45"/>
      <c r="B46" s="4"/>
      <c r="C46" s="4"/>
      <c r="D46" s="4"/>
      <c r="E46" s="4"/>
      <c r="F46" s="4"/>
      <c r="G46" s="42"/>
    </row>
    <row r="47" spans="1:7" ht="12.75">
      <c r="A47" s="45"/>
      <c r="B47" s="4"/>
      <c r="C47" s="4"/>
      <c r="D47" s="4"/>
      <c r="E47" s="4"/>
      <c r="F47" s="4"/>
      <c r="G47" s="42"/>
    </row>
    <row r="48" spans="1:7" ht="12.75">
      <c r="A48" s="45"/>
      <c r="B48" s="4"/>
      <c r="C48" s="4"/>
      <c r="D48" s="4"/>
      <c r="E48" s="4"/>
      <c r="F48" s="4"/>
      <c r="G48" s="42"/>
    </row>
    <row r="49" spans="1:7" ht="12.75">
      <c r="A49" s="45"/>
      <c r="B49" s="4"/>
      <c r="C49" s="4"/>
      <c r="D49" s="4"/>
      <c r="E49" s="4"/>
      <c r="F49" s="4"/>
      <c r="G49" s="42"/>
    </row>
    <row r="50" spans="1:7" ht="12.75">
      <c r="A50" s="45"/>
      <c r="B50" s="4"/>
      <c r="C50" s="4"/>
      <c r="D50" s="4"/>
      <c r="E50" s="4"/>
      <c r="F50" s="4"/>
      <c r="G50" s="42"/>
    </row>
    <row r="51" spans="1:7" ht="12.75">
      <c r="A51" s="45"/>
      <c r="B51" s="4"/>
      <c r="C51" s="4"/>
      <c r="D51" s="4"/>
      <c r="E51" s="4"/>
      <c r="F51" s="4"/>
      <c r="G51" s="42"/>
    </row>
    <row r="52" spans="1:7" ht="12.75">
      <c r="A52" s="45"/>
      <c r="B52" s="4"/>
      <c r="C52" s="4"/>
      <c r="D52" s="4"/>
      <c r="E52" s="4"/>
      <c r="F52" s="4"/>
      <c r="G52" s="42"/>
    </row>
    <row r="53" spans="1:7" ht="12.75">
      <c r="A53" s="45"/>
      <c r="B53" s="4"/>
      <c r="C53" s="4"/>
      <c r="D53" s="4"/>
      <c r="E53" s="4"/>
      <c r="F53" s="4"/>
      <c r="G53" s="42"/>
    </row>
    <row r="54" spans="1:7" ht="12.75">
      <c r="A54" s="45"/>
      <c r="B54" s="4"/>
      <c r="C54" s="4"/>
      <c r="D54" s="4"/>
      <c r="E54" s="4"/>
      <c r="F54" s="4"/>
      <c r="G54" s="42"/>
    </row>
    <row r="55" spans="1:7" ht="12.75">
      <c r="A55" s="45"/>
      <c r="B55" s="4"/>
      <c r="C55" s="4"/>
      <c r="D55" s="4"/>
      <c r="E55" s="4"/>
      <c r="F55" s="4"/>
      <c r="G55" s="42"/>
    </row>
    <row r="56" spans="1:7" ht="12.75">
      <c r="A56" s="45"/>
      <c r="B56" s="4"/>
      <c r="C56" s="4"/>
      <c r="D56" s="4"/>
      <c r="E56" s="4"/>
      <c r="F56" s="4"/>
      <c r="G56" s="42"/>
    </row>
    <row r="57" spans="1:7" ht="12.75">
      <c r="A57" s="45"/>
      <c r="B57" s="4"/>
      <c r="C57" s="4"/>
      <c r="D57" s="4"/>
      <c r="E57" s="4"/>
      <c r="F57" s="4"/>
      <c r="G57" s="42"/>
    </row>
    <row r="58" spans="1:7" ht="12.75">
      <c r="A58" s="45"/>
      <c r="B58" s="4"/>
      <c r="C58" s="4"/>
      <c r="D58" s="4"/>
      <c r="E58" s="4"/>
      <c r="F58" s="4"/>
      <c r="G58" s="42"/>
    </row>
    <row r="59" spans="1:7" ht="12.75">
      <c r="A59" s="45"/>
      <c r="B59" s="4"/>
      <c r="C59" s="4"/>
      <c r="D59" s="4"/>
      <c r="E59" s="4"/>
      <c r="F59" s="4"/>
      <c r="G59" s="42"/>
    </row>
    <row r="60" spans="1:7" ht="12.75">
      <c r="A60" s="45"/>
      <c r="B60" s="4"/>
      <c r="C60" s="4"/>
      <c r="D60" s="4"/>
      <c r="E60" s="4"/>
      <c r="F60" s="4"/>
      <c r="G60" s="42"/>
    </row>
    <row r="61" spans="1:7" ht="13.5" thickBot="1">
      <c r="A61" s="53"/>
      <c r="B61" s="12"/>
      <c r="C61" s="12"/>
      <c r="D61" s="12"/>
      <c r="E61" s="12"/>
      <c r="F61" s="12"/>
      <c r="G61" s="54"/>
    </row>
    <row r="62" spans="1:7" ht="12.75">
      <c r="A62" s="178"/>
      <c r="B62" s="179"/>
      <c r="C62" s="179"/>
      <c r="D62" s="179"/>
      <c r="E62" s="179"/>
      <c r="F62" s="179"/>
      <c r="G62" s="180"/>
    </row>
    <row r="63" spans="1:7" ht="12.75">
      <c r="A63" s="45"/>
      <c r="B63" s="4"/>
      <c r="C63" s="4"/>
      <c r="D63" s="4"/>
      <c r="E63" s="4"/>
      <c r="F63" s="4"/>
      <c r="G63" s="42"/>
    </row>
    <row r="64" spans="1:7" ht="12.75">
      <c r="A64" s="45"/>
      <c r="B64" s="4"/>
      <c r="C64" s="4"/>
      <c r="D64" s="4"/>
      <c r="E64" s="4"/>
      <c r="F64" s="4"/>
      <c r="G64" s="42"/>
    </row>
    <row r="65" spans="1:7" ht="12.75">
      <c r="A65" s="45"/>
      <c r="B65" s="4"/>
      <c r="C65" s="4"/>
      <c r="D65" s="4"/>
      <c r="E65" s="4"/>
      <c r="F65" s="4"/>
      <c r="G65" s="42"/>
    </row>
    <row r="66" spans="1:7" ht="12.75">
      <c r="A66" s="45"/>
      <c r="B66" s="4"/>
      <c r="C66" s="4"/>
      <c r="D66" s="4"/>
      <c r="E66" s="4"/>
      <c r="F66" s="4"/>
      <c r="G66" s="42"/>
    </row>
    <row r="67" spans="1:7" ht="12.75">
      <c r="A67" s="45"/>
      <c r="B67" s="4"/>
      <c r="C67" s="4"/>
      <c r="D67" s="4"/>
      <c r="E67" s="4"/>
      <c r="F67" s="4"/>
      <c r="G67" s="42"/>
    </row>
    <row r="68" spans="1:7" ht="12.75">
      <c r="A68" s="45"/>
      <c r="B68" s="4"/>
      <c r="C68" s="4"/>
      <c r="D68" s="4"/>
      <c r="E68" s="4"/>
      <c r="F68" s="4"/>
      <c r="G68" s="42"/>
    </row>
    <row r="69" spans="1:7" ht="12.75">
      <c r="A69" s="45"/>
      <c r="B69" s="4"/>
      <c r="C69" s="4"/>
      <c r="D69" s="4"/>
      <c r="E69" s="4"/>
      <c r="F69" s="4"/>
      <c r="G69" s="42"/>
    </row>
    <row r="70" spans="1:7" ht="12.75">
      <c r="A70" s="45"/>
      <c r="B70" s="4"/>
      <c r="C70" s="4"/>
      <c r="D70" s="4"/>
      <c r="E70" s="4"/>
      <c r="F70" s="4"/>
      <c r="G70" s="42"/>
    </row>
    <row r="71" spans="1:7" ht="12.75">
      <c r="A71" s="45"/>
      <c r="B71" s="4"/>
      <c r="C71" s="4"/>
      <c r="D71" s="4"/>
      <c r="E71" s="4"/>
      <c r="F71" s="4"/>
      <c r="G71" s="42"/>
    </row>
    <row r="72" spans="1:7" ht="12.75">
      <c r="A72" s="45"/>
      <c r="B72" s="4"/>
      <c r="C72" s="4"/>
      <c r="D72" s="4"/>
      <c r="E72" s="4"/>
      <c r="F72" s="4"/>
      <c r="G72" s="42"/>
    </row>
    <row r="73" spans="1:7" ht="12.75">
      <c r="A73" s="45"/>
      <c r="B73" s="4"/>
      <c r="C73" s="4"/>
      <c r="D73" s="4"/>
      <c r="E73" s="4"/>
      <c r="F73" s="4"/>
      <c r="G73" s="42"/>
    </row>
    <row r="74" spans="1:7" ht="12.75">
      <c r="A74" s="45"/>
      <c r="B74" s="4"/>
      <c r="C74" s="4"/>
      <c r="D74" s="4"/>
      <c r="E74" s="4"/>
      <c r="F74" s="4"/>
      <c r="G74" s="42"/>
    </row>
    <row r="75" spans="1:7" ht="13.5" thickBot="1">
      <c r="A75" s="53"/>
      <c r="B75" s="12"/>
      <c r="C75" s="12"/>
      <c r="D75" s="12"/>
      <c r="E75" s="12"/>
      <c r="F75" s="12"/>
      <c r="G75" s="54"/>
    </row>
  </sheetData>
  <printOptions/>
  <pageMargins left="0.75" right="0.75" top="1" bottom="1" header="0.4921259845" footer="0.4921259845"/>
  <pageSetup fitToHeight="2" horizontalDpi="600" verticalDpi="600" orientation="portrait" r:id="rId2"/>
  <headerFooter alignWithMargins="0">
    <oddFooter>&amp;LFichier : &amp;F
Onglet : &amp;A
Page &amp;P de &amp;N&amp;CMine-laboratoire
Val-d'Or&amp;R&amp;D
&amp;T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NRCan/RNCan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rolacroi</dc:creator>
  <cp:keywords/>
  <dc:description/>
  <cp:lastModifiedBy>Roger Lacroix</cp:lastModifiedBy>
  <cp:lastPrinted>2004-05-07T15:03:09Z</cp:lastPrinted>
  <dcterms:created xsi:type="dcterms:W3CDTF">2000-06-27T14:00:10Z</dcterms:created>
  <dcterms:modified xsi:type="dcterms:W3CDTF">2004-05-13T13:16:41Z</dcterms:modified>
  <cp:category/>
  <cp:version/>
  <cp:contentType/>
  <cp:contentStatus/>
</cp:coreProperties>
</file>