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70" windowHeight="3120" tabRatio="601" activeTab="2"/>
  </bookViews>
  <sheets>
    <sheet name="Compilation" sheetId="1" r:id="rId1"/>
    <sheet name="Costs" sheetId="2" r:id="rId2"/>
    <sheet name="Long-Hole" sheetId="3" r:id="rId3"/>
    <sheet name="Prod_Drilling" sheetId="4" r:id="rId4"/>
    <sheet name="Drop Raise_Drilling" sheetId="5" r:id="rId5"/>
    <sheet name="Cable_Drilling" sheetId="6" r:id="rId6"/>
    <sheet name="Drawing" sheetId="7" r:id="rId7"/>
  </sheets>
  <definedNames>
    <definedName name="_xlnm.Print_Area" localSheetId="4">'Drop Raise_Drilling'!$A$5:$U$60</definedName>
    <definedName name="_xlnm.Print_Area" localSheetId="2">'Long-Hole'!$A$5:$M$326</definedName>
    <definedName name="_xlnm.Print_Area" localSheetId="3">'Prod_Drilling'!$A$5:$T$85</definedName>
    <definedName name="_xlnm.Print_Titles" localSheetId="5">'Cable_Drilling'!$2:$3</definedName>
    <definedName name="_xlnm.Print_Titles" localSheetId="4">'Drop Raise_Drilling'!$2:$4</definedName>
    <definedName name="_xlnm.Print_Titles" localSheetId="2">'Long-Hole'!$1:$4</definedName>
    <definedName name="_xlnm.Print_Titles" localSheetId="3">'Prod_Drilling'!$2:$4</definedName>
    <definedName name="Z_43E77F05_9955_11D4_9758_00B0D01AB7C9_.wvu.PrintArea" localSheetId="2" hidden="1">'Long-Hole'!$A$5:$L$302</definedName>
    <definedName name="Z_43E77F05_9955_11D4_9758_00B0D01AB7C9_.wvu.PrintTitles" localSheetId="2" hidden="1">'Long-Hole'!$1:$4</definedName>
  </definedNames>
  <calcPr fullCalcOnLoad="1"/>
</workbook>
</file>

<file path=xl/comments3.xml><?xml version="1.0" encoding="utf-8"?>
<comments xmlns="http://schemas.openxmlformats.org/spreadsheetml/2006/main">
  <authors>
    <author>rolacroi</author>
    <author>HHAWKINS</author>
  </authors>
  <commentList>
    <comment ref="C104" authorId="0">
      <text>
        <r>
          <rPr>
            <b/>
            <sz val="10"/>
            <rFont val="Tahoma"/>
            <family val="2"/>
          </rPr>
          <t>In sub-level direction</t>
        </r>
      </text>
    </comment>
    <comment ref="D104" authorId="0">
      <text>
        <r>
          <rPr>
            <b/>
            <sz val="10"/>
            <rFont val="Tahoma"/>
            <family val="2"/>
          </rPr>
          <t>Perpendicular to sub-level direction</t>
        </r>
      </text>
    </comment>
    <comment ref="B117" authorId="0">
      <text>
        <r>
          <rPr>
            <b/>
            <sz val="11"/>
            <rFont val="Tahoma"/>
            <family val="2"/>
          </rPr>
          <t>Total length to be blasted, including drop raises. 
However, raises already open must be removed.</t>
        </r>
      </text>
    </comment>
    <comment ref="K116" authorId="0">
      <text>
        <r>
          <rPr>
            <b/>
            <sz val="10"/>
            <rFont val="Tahoma"/>
            <family val="2"/>
          </rPr>
          <t xml:space="preserve">Adjust the number of rows per blast to obtain a round blast number
</t>
        </r>
      </text>
    </comment>
    <comment ref="J131" authorId="0">
      <text>
        <r>
          <rPr>
            <b/>
            <u val="single"/>
            <sz val="10"/>
            <rFont val="Tahoma"/>
            <family val="2"/>
          </rPr>
          <t>See worksheets</t>
        </r>
        <r>
          <rPr>
            <b/>
            <sz val="10"/>
            <rFont val="Tahoma"/>
            <family val="2"/>
          </rPr>
          <t>:
Prod_Drilling:  production drilling
Drop Raise_Drilling:  drop raise drilling</t>
        </r>
      </text>
    </comment>
    <comment ref="F103" authorId="0">
      <text>
        <r>
          <rPr>
            <b/>
            <sz val="11"/>
            <rFont val="Tahoma"/>
            <family val="2"/>
          </rPr>
          <t>Include pilot holes which must be reamed.
The extra holes required to open the raise to the ore width must be included (if necessary).</t>
        </r>
      </text>
    </comment>
    <comment ref="J132" authorId="0">
      <text>
        <r>
          <rPr>
            <b/>
            <sz val="10"/>
            <rFont val="Tahoma"/>
            <family val="2"/>
          </rPr>
          <t>Includes drilling of reamed holes</t>
        </r>
      </text>
    </comment>
    <comment ref="M210" authorId="0">
      <text>
        <r>
          <rPr>
            <b/>
            <sz val="11"/>
            <rFont val="Tahoma"/>
            <family val="2"/>
          </rPr>
          <t>Enter the reference number of men for the transportation and loading of explosives</t>
        </r>
      </text>
    </comment>
    <comment ref="L135" authorId="0">
      <text>
        <r>
          <rPr>
            <b/>
            <sz val="10"/>
            <rFont val="Tahoma"/>
            <family val="2"/>
          </rPr>
          <t>The time included in this section reduces the available drilling time per shift</t>
        </r>
      </text>
    </comment>
    <comment ref="E179" authorId="0">
      <text>
        <r>
          <rPr>
            <b/>
            <sz val="9"/>
            <rFont val="Tahoma"/>
            <family val="2"/>
          </rPr>
          <t>Long-Hole rows only</t>
        </r>
      </text>
    </comment>
    <comment ref="B145" authorId="0">
      <text>
        <r>
          <rPr>
            <b/>
            <sz val="9"/>
            <rFont val="Tahoma"/>
            <family val="2"/>
          </rPr>
          <t>Includes drilling of reamed holes</t>
        </r>
      </text>
    </comment>
    <comment ref="B169" authorId="0">
      <text>
        <r>
          <rPr>
            <b/>
            <u val="single"/>
            <sz val="10"/>
            <rFont val="Tahoma"/>
            <family val="2"/>
          </rPr>
          <t>See worksheet</t>
        </r>
        <r>
          <rPr>
            <b/>
            <sz val="10"/>
            <rFont val="Tahoma"/>
            <family val="2"/>
          </rPr>
          <t>:</t>
        </r>
        <r>
          <rPr>
            <b/>
            <u val="single"/>
            <sz val="10"/>
            <color indexed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Cable_Drilling:  productivity calculation of anchor cable drilling</t>
        </r>
      </text>
    </comment>
    <comment ref="K166" authorId="0">
      <text>
        <r>
          <rPr>
            <b/>
            <sz val="10"/>
            <rFont val="Tahoma"/>
            <family val="2"/>
          </rPr>
          <t>Total time per hole</t>
        </r>
      </text>
    </comment>
    <comment ref="E116" authorId="1">
      <text>
        <r>
          <rPr>
            <b/>
            <sz val="10"/>
            <rFont val="Tahoma"/>
            <family val="2"/>
          </rPr>
          <t>The average area must include the planned dilution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rolacroi</author>
  </authors>
  <commentList>
    <comment ref="A78" authorId="0">
      <text>
        <r>
          <rPr>
            <b/>
            <sz val="16"/>
            <rFont val="Tahoma"/>
            <family val="2"/>
          </rPr>
          <t xml:space="preserve">Enter the required number of displacements of the drill rig on the same row. 
</t>
        </r>
        <r>
          <rPr>
            <b/>
            <u val="single"/>
            <sz val="16"/>
            <rFont val="Tahoma"/>
            <family val="2"/>
          </rPr>
          <t>The displacement time between rows is already included in the calculations.</t>
        </r>
      </text>
    </comment>
    <comment ref="B9" authorId="0">
      <text>
        <r>
          <rPr>
            <b/>
            <sz val="16"/>
            <rFont val="Tahoma"/>
            <family val="2"/>
          </rPr>
          <t xml:space="preserve">Adjust the time in relation to the penetration rate and the length of the rod
</t>
        </r>
      </text>
    </comment>
  </commentList>
</comments>
</file>

<file path=xl/comments5.xml><?xml version="1.0" encoding="utf-8"?>
<comments xmlns="http://schemas.openxmlformats.org/spreadsheetml/2006/main">
  <authors>
    <author>rolacroi</author>
  </authors>
  <commentList>
    <comment ref="A53" authorId="0">
      <text>
        <r>
          <rPr>
            <b/>
            <sz val="13"/>
            <rFont val="Tahoma"/>
            <family val="2"/>
          </rPr>
          <t>Only big diameter hole drilling. 
If pilot holes are required before drilling the big diameter, these will have to be added to the first line.</t>
        </r>
      </text>
    </comment>
    <comment ref="E56" authorId="0">
      <text>
        <r>
          <rPr>
            <b/>
            <sz val="13"/>
            <rFont val="Tahoma"/>
            <family val="2"/>
          </rPr>
          <t xml:space="preserve">Enter the total number of additional displacements of the drill rig on all the rows. 
</t>
        </r>
        <r>
          <rPr>
            <b/>
            <u val="single"/>
            <sz val="13"/>
            <rFont val="Tahoma"/>
            <family val="2"/>
          </rPr>
          <t>The displacement time between rows is already included in the
calculations.</t>
        </r>
        <r>
          <rPr>
            <sz val="16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16"/>
            <rFont val="Tahoma"/>
            <family val="2"/>
          </rPr>
          <t xml:space="preserve">Adjust the time in relation to the penetration rate and the length of the rod
</t>
        </r>
      </text>
    </comment>
  </commentList>
</comments>
</file>

<file path=xl/comments6.xml><?xml version="1.0" encoding="utf-8"?>
<comments xmlns="http://schemas.openxmlformats.org/spreadsheetml/2006/main">
  <authors>
    <author>rolacroi</author>
  </authors>
  <commentList>
    <comment ref="B9" authorId="0">
      <text>
        <r>
          <rPr>
            <b/>
            <sz val="16"/>
            <rFont val="Tahoma"/>
            <family val="2"/>
          </rPr>
          <t xml:space="preserve">Adjust the time in relation to the penetration rate and the length of the rod
</t>
        </r>
      </text>
    </comment>
    <comment ref="A81" authorId="0">
      <text>
        <r>
          <rPr>
            <b/>
            <sz val="16"/>
            <rFont val="Tahoma"/>
            <family val="2"/>
          </rPr>
          <t xml:space="preserve">Enter the required number of displacements of the drill rig on the same row.
</t>
        </r>
        <r>
          <rPr>
            <b/>
            <u val="single"/>
            <sz val="16"/>
            <rFont val="Tahoma"/>
            <family val="2"/>
          </rPr>
          <t>The displacement time between rows is already included in the calculations.</t>
        </r>
      </text>
    </comment>
  </commentList>
</comments>
</file>

<file path=xl/sharedStrings.xml><?xml version="1.0" encoding="utf-8"?>
<sst xmlns="http://schemas.openxmlformats.org/spreadsheetml/2006/main" count="842" uniqueCount="417">
  <si>
    <t>Lunch</t>
  </si>
  <si>
    <t>min</t>
  </si>
  <si>
    <t>tonnes</t>
  </si>
  <si>
    <t>NOTES</t>
  </si>
  <si>
    <t xml:space="preserve"> +</t>
  </si>
  <si>
    <t xml:space="preserve"> =</t>
  </si>
  <si>
    <t>+</t>
  </si>
  <si>
    <t>=</t>
  </si>
  <si>
    <t>TOTAL</t>
  </si>
  <si>
    <t xml:space="preserve">min </t>
  </si>
  <si>
    <t>Casing</t>
  </si>
  <si>
    <t>mm</t>
  </si>
  <si>
    <t xml:space="preserve"> %</t>
  </si>
  <si>
    <t>*</t>
  </si>
  <si>
    <t>TONNES</t>
  </si>
  <si>
    <t xml:space="preserve">TOTAL </t>
  </si>
  <si>
    <t xml:space="preserve"> ============&gt;</t>
  </si>
  <si>
    <t>CABLES</t>
  </si>
  <si>
    <t>Installation</t>
  </si>
  <si>
    <t>INSTALL.</t>
  </si>
  <si>
    <t>54 mm</t>
  </si>
  <si>
    <t>INSTALLATION</t>
  </si>
  <si>
    <t>total support :</t>
  </si>
  <si>
    <t>minutes</t>
  </si>
  <si>
    <t>Supervision</t>
  </si>
  <si>
    <t>MODULE :  SUPPORT, DRILLING, BLASTING</t>
  </si>
  <si>
    <t>FLOOR</t>
  </si>
  <si>
    <t>DROP RAISES</t>
  </si>
  <si>
    <t>DRILLING</t>
  </si>
  <si>
    <t>REDRILLING</t>
  </si>
  <si>
    <t>BLASTING</t>
  </si>
  <si>
    <t>hours</t>
  </si>
  <si>
    <t>1 - Labour</t>
  </si>
  <si>
    <t>rebars and resin</t>
  </si>
  <si>
    <t>cables, ciment and drilling</t>
  </si>
  <si>
    <t>shotcrete</t>
  </si>
  <si>
    <t>3 - Equipment maintenance</t>
  </si>
  <si>
    <t>Labour only</t>
  </si>
  <si>
    <t>CLEANING</t>
  </si>
  <si>
    <t>Productivity</t>
  </si>
  <si>
    <t>STOPE PRODUCTIVITY CALCULATION</t>
  </si>
  <si>
    <t>Frequency or Units</t>
  </si>
  <si>
    <t>Total Time               (min)</t>
  </si>
  <si>
    <t>Cage (at beginning and end of shift)</t>
  </si>
  <si>
    <t>Back and forth to stope</t>
  </si>
  <si>
    <t>Work planning</t>
  </si>
  <si>
    <t>hours/shift</t>
  </si>
  <si>
    <t>RELATED TO FLOOR</t>
  </si>
  <si>
    <t>Clean pump and accessories</t>
  </si>
  <si>
    <t>OTHER ACTIVITIES</t>
  </si>
  <si>
    <t>PER STOPE</t>
  </si>
  <si>
    <t>Surveyors</t>
  </si>
  <si>
    <t>Assemble the drill</t>
  </si>
  <si>
    <t>Install electric services</t>
  </si>
  <si>
    <t>cleaning</t>
  </si>
  <si>
    <t>with</t>
  </si>
  <si>
    <t>MEN</t>
  </si>
  <si>
    <t>Actual length</t>
  </si>
  <si>
    <t>Width</t>
  </si>
  <si>
    <t>Height</t>
  </si>
  <si>
    <t xml:space="preserve"> # of drop raises</t>
  </si>
  <si>
    <t xml:space="preserve">Number </t>
  </si>
  <si>
    <t>Blasting</t>
  </si>
  <si>
    <t>Drilling</t>
  </si>
  <si>
    <t>ore density (t/m³)</t>
  </si>
  <si>
    <t>Number</t>
  </si>
  <si>
    <t>Tonnes</t>
  </si>
  <si>
    <t xml:space="preserve">Number of </t>
  </si>
  <si>
    <t>Number of</t>
  </si>
  <si>
    <t>blasts</t>
  </si>
  <si>
    <t>Drop raises</t>
  </si>
  <si>
    <t>Check hydraulic oil level</t>
  </si>
  <si>
    <t>Drill cleaning</t>
  </si>
  <si>
    <t>Other verifications</t>
  </si>
  <si>
    <t>rows</t>
  </si>
  <si>
    <t>Total cable instal-</t>
  </si>
  <si>
    <t>Number of men (drilling)</t>
  </si>
  <si>
    <t>Kg of explosives</t>
  </si>
  <si>
    <t>Loading</t>
  </si>
  <si>
    <t>Drop raises (hours)</t>
  </si>
  <si>
    <t>Fixed</t>
  </si>
  <si>
    <t>Variable</t>
  </si>
  <si>
    <t>Drop Raises</t>
  </si>
  <si>
    <t>OTHERS</t>
  </si>
  <si>
    <t>Number of times</t>
  </si>
  <si>
    <t>by default</t>
  </si>
  <si>
    <t>One man per drill</t>
  </si>
  <si>
    <t>Hours of fixed activities</t>
  </si>
  <si>
    <t>Hours of variable activities</t>
  </si>
  <si>
    <t>Number of hours per shift (schedule)</t>
  </si>
  <si>
    <t>Transportation</t>
  </si>
  <si>
    <t>PRODUCTIVITY</t>
  </si>
  <si>
    <t>PRODUCTIVE</t>
  </si>
  <si>
    <t>FIXED</t>
  </si>
  <si>
    <t>6.0 - STOPE STATISTICS</t>
  </si>
  <si>
    <t>Explosives (kg)</t>
  </si>
  <si>
    <t>Powder Factor</t>
  </si>
  <si>
    <t>shifts</t>
  </si>
  <si>
    <t>Floor</t>
  </si>
  <si>
    <t>of cables</t>
  </si>
  <si>
    <t>per drill</t>
  </si>
  <si>
    <t>screen</t>
  </si>
  <si>
    <t>breakthrough</t>
  </si>
  <si>
    <t>4.0 - Pivoting the drill on the same rotation point</t>
  </si>
  <si>
    <t>average drilling time per rod</t>
  </si>
  <si>
    <t>Breakthrough</t>
  </si>
  <si>
    <t>yes=1,  no=0</t>
  </si>
  <si>
    <t>of rods</t>
  </si>
  <si>
    <t>Average productivity</t>
  </si>
  <si>
    <t>DIAMETER (mm)</t>
  </si>
  <si>
    <t>2 - Material</t>
  </si>
  <si>
    <t># holes</t>
  </si>
  <si>
    <t>1.0 - DIRECT FIXED ACTIVITIES PER SHIFT (outside the stope)</t>
  </si>
  <si>
    <t>Travelling (shaft - refuge station - shaft)</t>
  </si>
  <si>
    <t>Other travelling delays</t>
  </si>
  <si>
    <t>Complete daily reports</t>
  </si>
  <si>
    <t>Check blasting line</t>
  </si>
  <si>
    <t>Connect the blast</t>
  </si>
  <si>
    <t>Close access to the stope</t>
  </si>
  <si>
    <t>Geologists</t>
  </si>
  <si>
    <t>5.1.1 - DIRECT FIXED ACTIVITIES</t>
  </si>
  <si>
    <t>DIRECT FIXED             (hours)</t>
  </si>
  <si>
    <t>5.1.2 - DIRECT VARIABLE ACTIVITIES</t>
  </si>
  <si>
    <t>DIRECT VARIABLE    (hours)</t>
  </si>
  <si>
    <t>DIRECT VARIABLE    (hours) *</t>
  </si>
  <si>
    <t>Bring and lower drill in the sub-level</t>
  </si>
  <si>
    <t xml:space="preserve"> $/tonne</t>
  </si>
  <si>
    <t>$/tonne</t>
  </si>
  <si>
    <t>minutes/blast</t>
  </si>
  <si>
    <t>hours/blast</t>
  </si>
  <si>
    <t>Time (minutes)</t>
  </si>
  <si>
    <t>Number of men (installation)</t>
  </si>
  <si>
    <t>Kg of explosives/blast</t>
  </si>
  <si>
    <t>c - Single priming/hole</t>
  </si>
  <si>
    <t>d - Collar verification/hole</t>
  </si>
  <si>
    <t>Loading productivity (kg/hour)</t>
  </si>
  <si>
    <t>TONNES/SHIFT</t>
  </si>
  <si>
    <t>NUMBER OF BLASTS/SHIFT</t>
  </si>
  <si>
    <t>tonnes/shift</t>
  </si>
  <si>
    <t>blasts/shift</t>
  </si>
  <si>
    <t>meters/shift</t>
  </si>
  <si>
    <t>tonnes/manshift</t>
  </si>
  <si>
    <t>min/rod</t>
  </si>
  <si>
    <t>min/</t>
  </si>
  <si>
    <t>Diam (mm)</t>
  </si>
  <si>
    <t>Total/tonne</t>
  </si>
  <si>
    <t>Store equipment and explosives</t>
  </si>
  <si>
    <t xml:space="preserve">RELATED TO MOBILIZATION </t>
  </si>
  <si>
    <t>AND DEMOBILIZATION</t>
  </si>
  <si>
    <t>Mechanics and electricians</t>
  </si>
  <si>
    <t>CONTINGENCY</t>
  </si>
  <si>
    <t>with a contingency of</t>
  </si>
  <si>
    <t>a - Cleaning/hole</t>
  </si>
  <si>
    <t>UNIT COST DISTRIBUTION PER ACTIVITY</t>
  </si>
  <si>
    <t>MODULE:  SUPPORT, DRILLING, BLASTING</t>
  </si>
  <si>
    <t xml:space="preserve">MOBILIZATION &amp; </t>
  </si>
  <si>
    <t>DEMOBILIZATION</t>
  </si>
  <si>
    <t>LONG-HOLE</t>
  </si>
  <si>
    <t>Salary ($/hour)</t>
  </si>
  <si>
    <t>Fringe benefits</t>
  </si>
  <si>
    <t>Total ($/hour)</t>
  </si>
  <si>
    <t>Hours/shift</t>
  </si>
  <si>
    <t>Drilling (Long-Hole)</t>
  </si>
  <si>
    <t>Explosives and accessories</t>
  </si>
  <si>
    <t>Support</t>
  </si>
  <si>
    <t>mechanical rockbolts</t>
  </si>
  <si>
    <t>Split-Set</t>
  </si>
  <si>
    <t>Swellex</t>
  </si>
  <si>
    <t>Timber</t>
  </si>
  <si>
    <t>Track</t>
  </si>
  <si>
    <t>Pipes</t>
  </si>
  <si>
    <t>Ventilation</t>
  </si>
  <si>
    <t>mechanical</t>
  </si>
  <si>
    <t>electrical</t>
  </si>
  <si>
    <t>diesel and lubricants</t>
  </si>
  <si>
    <t>Other supplies</t>
  </si>
  <si>
    <t>$/drilled m (cables)</t>
  </si>
  <si>
    <t>Time                     (min)/Unit</t>
  </si>
  <si>
    <t>Three-meter wide stope</t>
  </si>
  <si>
    <t>Two working areas per sub-level</t>
  </si>
  <si>
    <t>Three sub-levels 6 meters apart (floor/roof)</t>
  </si>
  <si>
    <t>Bring and prepare material</t>
  </si>
  <si>
    <t>Store material</t>
  </si>
  <si>
    <t>minutes/sub-level</t>
  </si>
  <si>
    <t>hours/sub-level</t>
  </si>
  <si>
    <t>Length of</t>
  </si>
  <si>
    <t>Average area</t>
  </si>
  <si>
    <t>/blast</t>
  </si>
  <si>
    <t>RELATED TO BLASTING</t>
  </si>
  <si>
    <t>Clean the floor following blast</t>
  </si>
  <si>
    <t>Extra scaling</t>
  </si>
  <si>
    <t>Repair and install ventilation</t>
  </si>
  <si>
    <t>Access verification following blast</t>
  </si>
  <si>
    <t>2.0 - DIRECT FIXED ACTIVITIES PER STEP (inside the stope)</t>
  </si>
  <si>
    <t>3.0 - DIRECT FIXED ACTIVITIES PER STOPE</t>
  </si>
  <si>
    <t>Required number of men</t>
  </si>
  <si>
    <t>4.0 - DIRECT VARIABLE ACTIVITIES PER STEP (inside the stope)</t>
  </si>
  <si>
    <t>4.1 - Floor cleaning</t>
  </si>
  <si>
    <t>Cleaning time</t>
  </si>
  <si>
    <t>(hours)</t>
  </si>
  <si>
    <t>Productivity (linear meters/hour)</t>
  </si>
  <si>
    <t>4.2 - Stope parameters</t>
  </si>
  <si>
    <t>4.2.1 - Drop raise parameters</t>
  </si>
  <si>
    <t>4.3 - Drilling</t>
  </si>
  <si>
    <t>4.5 - Blasting</t>
  </si>
  <si>
    <t>4.5.1 - Loading parameters</t>
  </si>
  <si>
    <t>4.5.2 - Loading time</t>
  </si>
  <si>
    <t>5.0 - STOPE COMPILATION</t>
  </si>
  <si>
    <t>5.2 - STOPE PRODUCTIVITY CALCULATION</t>
  </si>
  <si>
    <t>MANHOURS</t>
  </si>
  <si>
    <t>INSIDE THE STOPE</t>
  </si>
  <si>
    <t>Prepare the slide and working areas</t>
  </si>
  <si>
    <t>Frequency or                       Units</t>
  </si>
  <si>
    <t>Sub-levels</t>
  </si>
  <si>
    <t>Drilling sub-levels</t>
  </si>
  <si>
    <t>Drilled hole diameter (mm)</t>
  </si>
  <si>
    <t>Production</t>
  </si>
  <si>
    <t>Reaming</t>
  </si>
  <si>
    <t>Number of drilled meters</t>
  </si>
  <si>
    <t>of blasts</t>
  </si>
  <si>
    <t>/drop raise</t>
  </si>
  <si>
    <t>Blasted holes</t>
  </si>
  <si>
    <t>sub-levels</t>
  </si>
  <si>
    <t>Average number</t>
  </si>
  <si>
    <t>Total number</t>
  </si>
  <si>
    <t>of holes</t>
  </si>
  <si>
    <t>tonnes/meter</t>
  </si>
  <si>
    <t>Drilling time (hours)</t>
  </si>
  <si>
    <t>Long-Hole</t>
  </si>
  <si>
    <t>Hours</t>
  </si>
  <si>
    <t>Productivity (meters/hour)</t>
  </si>
  <si>
    <t>Mechanical maintenance of drill (for each shift)</t>
  </si>
  <si>
    <t>Grease and lubricants</t>
  </si>
  <si>
    <t>Average maintenance time per shift</t>
  </si>
  <si>
    <t>min/shift</t>
  </si>
  <si>
    <t>Drop raises -&gt;</t>
  </si>
  <si>
    <t>Average productivity (meters/shift) *</t>
  </si>
  <si>
    <t>&lt;- Long-Hole</t>
  </si>
  <si>
    <t>NOTE:  The average productivity includes:  drilling, daily maintenance, fixed time per shift and contingencies.</t>
  </si>
  <si>
    <t>of rows</t>
  </si>
  <si>
    <t>rows/blast</t>
  </si>
  <si>
    <t>rows/shift</t>
  </si>
  <si>
    <t>/row</t>
  </si>
  <si>
    <t>of holes/row</t>
  </si>
  <si>
    <t>e - Connecting time/row</t>
  </si>
  <si>
    <t>Spacing between</t>
  </si>
  <si>
    <r>
      <t>/row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</si>
  <si>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Number of tonnes</t>
  </si>
  <si>
    <t>Number of drilled</t>
  </si>
  <si>
    <t>meters/row</t>
  </si>
  <si>
    <t>Total number of</t>
  </si>
  <si>
    <t>drilled meters</t>
  </si>
  <si>
    <t>tonnes/blast</t>
  </si>
  <si>
    <t>holes/row</t>
  </si>
  <si>
    <t>Number of cables</t>
  </si>
  <si>
    <t>/hole</t>
  </si>
  <si>
    <t>Drilling time</t>
  </si>
  <si>
    <t>lation time (hours)</t>
  </si>
  <si>
    <t>Average installation time of</t>
  </si>
  <si>
    <t>b - Cement the collar per hole</t>
  </si>
  <si>
    <t>c - Grouting per hole</t>
  </si>
  <si>
    <t>Meter of cable/Long-Hole tonne</t>
  </si>
  <si>
    <t>meters/hour</t>
  </si>
  <si>
    <t>Total tonnage from drilling rows (Long-Hole)</t>
  </si>
  <si>
    <t>meter of cable/tonne</t>
  </si>
  <si>
    <t>* The average productivity includes:  drilling, daily maintenance, fixed time per shift and contingencies.</t>
  </si>
  <si>
    <t>Number of holes to be loaded</t>
  </si>
  <si>
    <t>Number of meters to be loaded</t>
  </si>
  <si>
    <t>Length not</t>
  </si>
  <si>
    <t>loaded/row</t>
  </si>
  <si>
    <t>Long-Hole (hours)</t>
  </si>
  <si>
    <t>Average fixed time for loading</t>
  </si>
  <si>
    <t>Drilling time/rod</t>
  </si>
  <si>
    <t>Change of rod</t>
  </si>
  <si>
    <t>Loosen the rod</t>
  </si>
  <si>
    <t>Store the rod</t>
  </si>
  <si>
    <t>length of the rod (m)</t>
  </si>
  <si>
    <t>average time per drilled meter</t>
  </si>
  <si>
    <t>min/drilled m</t>
  </si>
  <si>
    <t>Insert the rod with steel bit for casing</t>
  </si>
  <si>
    <t xml:space="preserve">Drilling </t>
  </si>
  <si>
    <t>Insert casing</t>
  </si>
  <si>
    <t>Remove the rod with steel bit for casing</t>
  </si>
  <si>
    <t>minutes/casing</t>
  </si>
  <si>
    <t>Fractured ground</t>
  </si>
  <si>
    <t>Tighten the slide and check the dip</t>
  </si>
  <si>
    <t>Loosen the slide and adjust the dip</t>
  </si>
  <si>
    <t>Moving the drill to the other rotation point</t>
  </si>
  <si>
    <t>Moving the drill rig</t>
  </si>
  <si>
    <t>Check alignment of drill rig</t>
  </si>
  <si>
    <t>average time to move drill rig</t>
  </si>
  <si>
    <t>Length of rods (m)</t>
  </si>
  <si>
    <t>Hole diameter (mm)</t>
  </si>
  <si>
    <t>Insert the rod</t>
  </si>
  <si>
    <t>Hole cleaning/rod</t>
  </si>
  <si>
    <t>2.0 - Casing</t>
  </si>
  <si>
    <t>3.0 - Hole breakthrough</t>
  </si>
  <si>
    <t>pivoting average time</t>
  </si>
  <si>
    <t>5.0 - Moving the drill on the same row without</t>
  </si>
  <si>
    <t>changing the position of the drill rig (setup)</t>
  </si>
  <si>
    <t>Check position of the drill</t>
  </si>
  <si>
    <t xml:space="preserve">average time to move drill on the same row (not the rig) </t>
  </si>
  <si>
    <t>Adjust table inclination (dip of the row)</t>
  </si>
  <si>
    <t>7.0 - Typical row</t>
  </si>
  <si>
    <t>Setup</t>
  </si>
  <si>
    <t>Number of drill rig displacements on the same row</t>
  </si>
  <si>
    <t>Length</t>
  </si>
  <si>
    <t>Drilling time (min)</t>
  </si>
  <si>
    <t>Displacements (min)</t>
  </si>
  <si>
    <t>Positioning</t>
  </si>
  <si>
    <t>Row</t>
  </si>
  <si>
    <t>Total drilling time per row</t>
  </si>
  <si>
    <t>feet/hour</t>
  </si>
  <si>
    <t>Put drill rig in moving mode</t>
  </si>
  <si>
    <t>Put drill rig in drilling mode</t>
  </si>
  <si>
    <t>6.0 - Moving the drill rig from one row to another</t>
  </si>
  <si>
    <t>or on the same row</t>
  </si>
  <si>
    <t>Drill through screen</t>
  </si>
  <si>
    <t>Hole #</t>
  </si>
  <si>
    <t xml:space="preserve">MOBILIZATION AND </t>
  </si>
  <si>
    <t>PRODUCTIVITY CALCULATION OF DROP RAISE DRILLING</t>
  </si>
  <si>
    <t xml:space="preserve">pivoting average time </t>
  </si>
  <si>
    <t># setups</t>
  </si>
  <si>
    <t>Setups</t>
  </si>
  <si>
    <t>Rows</t>
  </si>
  <si>
    <t>Length of holes (m)</t>
  </si>
  <si>
    <t>average time to move drill on the same row (not the rig)</t>
  </si>
  <si>
    <t>Total number of additional displacements of the drill rig</t>
  </si>
  <si>
    <t>minutes/drilled meter</t>
  </si>
  <si>
    <t xml:space="preserve"> changing the position of the drill rig (setup)</t>
  </si>
  <si>
    <t xml:space="preserve"> or on the same row</t>
  </si>
  <si>
    <t>1.0 - Calculation of the average drilling time per rod</t>
  </si>
  <si>
    <t>Bonus ($/hour)</t>
  </si>
  <si>
    <t>$/drilled m (drop raises)</t>
  </si>
  <si>
    <t>$/drilled m (Long-Hole)</t>
  </si>
  <si>
    <t xml:space="preserve"> $/drilled m (drop raises and Long-Hole)</t>
  </si>
  <si>
    <t>4.4 - Support by anchor cables</t>
  </si>
  <si>
    <t xml:space="preserve">anchor cables </t>
  </si>
  <si>
    <t>a - Insert cables and hoses per hole</t>
  </si>
  <si>
    <t>d - Install plate and tensioning per hole</t>
  </si>
  <si>
    <t>Explosive density (g/cc)</t>
  </si>
  <si>
    <t>Kg of explosives/meter</t>
  </si>
  <si>
    <t>Powder factor (kg/tonne)</t>
  </si>
  <si>
    <t xml:space="preserve"> # of men</t>
  </si>
  <si>
    <t>Transportation of explosives to the loading area (kg/hour)</t>
  </si>
  <si>
    <t>NOTE:</t>
  </si>
  <si>
    <t xml:space="preserve"> - varable time:  includes transportation and loading of explosives</t>
  </si>
  <si>
    <t xml:space="preserve"> - fixed time:      includes a,b,c,d,e</t>
  </si>
  <si>
    <t>NUMBER OF ROWS/SHIFT</t>
  </si>
  <si>
    <t>METERS ADVANCED/SHIFT</t>
  </si>
  <si>
    <t>5.1 - TABLE OF REQUIRED HOURS PER ACTIVITY</t>
  </si>
  <si>
    <t xml:space="preserve"> (inside the stope)</t>
  </si>
  <si>
    <t>MOBILIZATION AND</t>
  </si>
  <si>
    <t>ref. section 2.0</t>
  </si>
  <si>
    <t>ref. section 3.0</t>
  </si>
  <si>
    <t>Scheduled hours</t>
  </si>
  <si>
    <t>ref. section 4.1</t>
  </si>
  <si>
    <t>ref. section 4.3</t>
  </si>
  <si>
    <t>ref. section 4.5.2</t>
  </si>
  <si>
    <t>ref. section 4.4</t>
  </si>
  <si>
    <t>One man</t>
  </si>
  <si>
    <t>PLANNED NUMBER OF MEN</t>
  </si>
  <si>
    <t>THEREFORE, ACCORDING TO THE NUMBER OF MEN ENTERED, WE OBTAIN:</t>
  </si>
  <si>
    <t xml:space="preserve"> * The planned number of men can be different from the one entered in each section.  If the number is different,</t>
  </si>
  <si>
    <t>manhours</t>
  </si>
  <si>
    <t>Total</t>
  </si>
  <si>
    <t>TOTAL MANHOURS REQUIRED</t>
  </si>
  <si>
    <t>manshift contingency</t>
  </si>
  <si>
    <t>required manhours inside the stope</t>
  </si>
  <si>
    <t>required manhours from direct fixed activities (outside the stope)</t>
  </si>
  <si>
    <t>total (manhours)</t>
  </si>
  <si>
    <t>TOTAL (manshifts)</t>
  </si>
  <si>
    <t>OUTSIDE STOPE</t>
  </si>
  <si>
    <t>Drilled meters</t>
  </si>
  <si>
    <t>T/drilled m</t>
  </si>
  <si>
    <t xml:space="preserve"> (kg/tonne)</t>
  </si>
  <si>
    <t>Meters</t>
  </si>
  <si>
    <t xml:space="preserve"> # of holes</t>
  </si>
  <si>
    <t>6.1 - STOPE PLANNING FACTORS</t>
  </si>
  <si>
    <t>Mobilization and</t>
  </si>
  <si>
    <t>Demobilization</t>
  </si>
  <si>
    <t>Mobilization &amp;</t>
  </si>
  <si>
    <t>Drilling (m/shift)</t>
  </si>
  <si>
    <t>Repairs in main access</t>
  </si>
  <si>
    <t>4.2.2 - Drilling and blasting parameters of production rows</t>
  </si>
  <si>
    <t>Average tonnage per drilled meter</t>
  </si>
  <si>
    <t>Redrilling time following blast damages (hours)</t>
  </si>
  <si>
    <t># shifts (incl maintenance)</t>
  </si>
  <si>
    <t>drilling hours (incl maintenance)</t>
  </si>
  <si>
    <t xml:space="preserve"> # shifts (incl maintenance)</t>
  </si>
  <si>
    <t>Average productivity (m/shift)</t>
  </si>
  <si>
    <t>Total cable</t>
  </si>
  <si>
    <t>length (m)</t>
  </si>
  <si>
    <t>the time required for variable activities will be corrected in proportion to the number of men.</t>
  </si>
  <si>
    <r>
      <t xml:space="preserve">Required number of shifts </t>
    </r>
    <r>
      <rPr>
        <b/>
        <sz val="12"/>
        <rFont val="Arial"/>
        <family val="2"/>
      </rPr>
      <t>(including contingencies and fixed time per shift)</t>
    </r>
  </si>
  <si>
    <t>Total tonnage from production rows</t>
  </si>
  <si>
    <t>Check bolts of table, slide, etc.</t>
  </si>
  <si>
    <t>Anchor cables per drift outside the mineralized zone</t>
  </si>
  <si>
    <t>Dismantle and bring out drill from sub-level</t>
  </si>
  <si>
    <t>Number of primers/hole</t>
  </si>
  <si>
    <t>b - Bottom hole blocking/hole</t>
  </si>
  <si>
    <t>PRODUCTIVITY CALCULATION OF PRODUCTION DRILLING</t>
  </si>
  <si>
    <t>Align drill rig on reference points</t>
  </si>
  <si>
    <t>7.0 - Typical drop raise drilling</t>
  </si>
  <si>
    <t>Total drilling time                              per drop raise</t>
  </si>
  <si>
    <t>including rods, steel bits, hoses, lubricants and grease</t>
  </si>
  <si>
    <t>REFERENCE NUMBER OF MEN</t>
  </si>
  <si>
    <t>Floor cleaning</t>
  </si>
  <si>
    <t>PRODUCTIVITY CALCULATION OF ANCHOR CABLE DRILLING</t>
  </si>
  <si>
    <t>Total drilling time                              per row</t>
  </si>
  <si>
    <t>ONLY DIRECT VARIABLE ACTIVITIES ARE INFLUENCED BY THE NUMBER OF MEN.</t>
  </si>
  <si>
    <t>TOTAL (STOPE)</t>
  </si>
  <si>
    <t>RELATED TO ANCHOR CABLE</t>
  </si>
  <si>
    <t>Installation time of anchor cables per hole</t>
  </si>
  <si>
    <t>Remove electric services</t>
  </si>
  <si>
    <t>Ramp access to sub-level</t>
  </si>
  <si>
    <t>Version:  April 2, 2004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</si>
</sst>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%"/>
    <numFmt numFmtId="173" formatCode="0.0"/>
    <numFmt numFmtId="174" formatCode="0.00000000"/>
    <numFmt numFmtId="175" formatCode="0.000000000"/>
    <numFmt numFmtId="176" formatCode="0.0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000"/>
    <numFmt numFmtId="183" formatCode="_(* #,##0.0_);_(* \(#,##0.0\);_(* &quot;-&quot;??_);_(@_)"/>
    <numFmt numFmtId="184" formatCode="0.0000000000000"/>
    <numFmt numFmtId="185" formatCode="0.000000000000"/>
    <numFmt numFmtId="186" formatCode="_(* #,##0_);_(* \(#,##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u val="single"/>
      <sz val="24"/>
      <name val="Arial Black"/>
      <family val="2"/>
    </font>
    <font>
      <sz val="12"/>
      <name val="Arial"/>
      <family val="2"/>
    </font>
    <font>
      <b/>
      <u val="single"/>
      <sz val="16"/>
      <name val="Tahoma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9"/>
      <name val="Tahoma"/>
      <family val="2"/>
    </font>
    <font>
      <sz val="11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u val="single"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6"/>
      <name val="Tahoma"/>
      <family val="2"/>
    </font>
    <font>
      <b/>
      <u val="single"/>
      <sz val="10"/>
      <color indexed="10"/>
      <name val="Tahoma"/>
      <family val="2"/>
    </font>
    <font>
      <sz val="16"/>
      <name val="Tahoma"/>
      <family val="2"/>
    </font>
    <font>
      <i/>
      <u val="single"/>
      <sz val="14"/>
      <name val="Arial Black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u val="single"/>
      <sz val="20"/>
      <name val="Arial Black"/>
      <family val="2"/>
    </font>
    <font>
      <b/>
      <i/>
      <u val="single"/>
      <sz val="20"/>
      <name val="Arial Black"/>
      <family val="2"/>
    </font>
    <font>
      <sz val="18"/>
      <name val="Arial"/>
      <family val="2"/>
    </font>
    <font>
      <sz val="26"/>
      <name val="Arial Black"/>
      <family val="2"/>
    </font>
    <font>
      <i/>
      <u val="single"/>
      <sz val="26"/>
      <name val="Arial Black"/>
      <family val="2"/>
    </font>
    <font>
      <sz val="18"/>
      <name val="Arial Black"/>
      <family val="2"/>
    </font>
    <font>
      <b/>
      <sz val="22"/>
      <name val="Arial"/>
      <family val="2"/>
    </font>
    <font>
      <i/>
      <sz val="14"/>
      <name val="Arial"/>
      <family val="2"/>
    </font>
    <font>
      <b/>
      <u val="single"/>
      <sz val="10"/>
      <name val="Tahoma"/>
      <family val="2"/>
    </font>
    <font>
      <b/>
      <sz val="13"/>
      <name val="Tahoma"/>
      <family val="2"/>
    </font>
    <font>
      <b/>
      <u val="single"/>
      <sz val="13"/>
      <name val="Tahoma"/>
      <family val="2"/>
    </font>
    <font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ck"/>
      <top>
        <color indexed="63"/>
      </top>
      <bottom style="double"/>
    </border>
    <border>
      <left style="thick"/>
      <right style="thin"/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thick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ck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indent="4"/>
    </xf>
    <xf numFmtId="0" fontId="0" fillId="0" borderId="0" xfId="0" applyBorder="1" applyAlignment="1" quotePrefix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6" xfId="0" applyBorder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3" fontId="0" fillId="2" borderId="1" xfId="0" applyNumberFormat="1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7" xfId="0" applyBorder="1" applyAlignment="1">
      <alignment/>
    </xf>
    <xf numFmtId="173" fontId="0" fillId="2" borderId="8" xfId="0" applyNumberFormat="1" applyFill="1" applyBorder="1" applyAlignment="1">
      <alignment horizontal="center"/>
    </xf>
    <xf numFmtId="0" fontId="7" fillId="0" borderId="0" xfId="0" applyFont="1" applyAlignment="1">
      <alignment/>
    </xf>
    <xf numFmtId="173" fontId="7" fillId="2" borderId="9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 indent="2"/>
    </xf>
    <xf numFmtId="0" fontId="12" fillId="2" borderId="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12" fillId="2" borderId="14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2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7" xfId="0" applyFont="1" applyBorder="1" applyAlignment="1">
      <alignment/>
    </xf>
    <xf numFmtId="2" fontId="12" fillId="2" borderId="0" xfId="0" applyNumberFormat="1" applyFont="1" applyFill="1" applyBorder="1" applyAlignment="1">
      <alignment/>
    </xf>
    <xf numFmtId="0" fontId="12" fillId="0" borderId="5" xfId="0" applyFont="1" applyBorder="1" applyAlignment="1">
      <alignment/>
    </xf>
    <xf numFmtId="0" fontId="17" fillId="0" borderId="0" xfId="0" applyFont="1" applyBorder="1" applyAlignment="1">
      <alignment horizontal="left" indent="1"/>
    </xf>
    <xf numFmtId="0" fontId="18" fillId="0" borderId="0" xfId="0" applyFont="1" applyBorder="1" applyAlignment="1">
      <alignment horizontal="left" indent="1"/>
    </xf>
    <xf numFmtId="0" fontId="12" fillId="0" borderId="0" xfId="0" applyFont="1" applyAlignment="1">
      <alignment horizontal="right"/>
    </xf>
    <xf numFmtId="0" fontId="17" fillId="0" borderId="0" xfId="0" applyFont="1" applyAlignment="1">
      <alignment/>
    </xf>
    <xf numFmtId="0" fontId="12" fillId="0" borderId="0" xfId="0" applyFont="1" applyAlignment="1">
      <alignment horizontal="left" indent="4"/>
    </xf>
    <xf numFmtId="0" fontId="17" fillId="0" borderId="0" xfId="0" applyFont="1" applyAlignment="1">
      <alignment horizontal="left" indent="1"/>
    </xf>
    <xf numFmtId="173" fontId="12" fillId="2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0" fontId="5" fillId="0" borderId="0" xfId="0" applyFont="1" applyAlignment="1">
      <alignment horizontal="left" indent="2"/>
    </xf>
    <xf numFmtId="0" fontId="19" fillId="0" borderId="0" xfId="0" applyFont="1" applyAlignment="1">
      <alignment horizontal="left" indent="1"/>
    </xf>
    <xf numFmtId="0" fontId="0" fillId="0" borderId="18" xfId="0" applyBorder="1" applyAlignment="1">
      <alignment/>
    </xf>
    <xf numFmtId="2" fontId="12" fillId="2" borderId="7" xfId="0" applyNumberFormat="1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0" xfId="0" applyFont="1" applyAlignment="1">
      <alignment horizontal="left" indent="1"/>
    </xf>
    <xf numFmtId="2" fontId="7" fillId="2" borderId="1" xfId="0" applyNumberFormat="1" applyFont="1" applyFill="1" applyBorder="1" applyAlignment="1">
      <alignment/>
    </xf>
    <xf numFmtId="173" fontId="7" fillId="2" borderId="1" xfId="0" applyNumberFormat="1" applyFont="1" applyFill="1" applyBorder="1" applyAlignment="1">
      <alignment/>
    </xf>
    <xf numFmtId="0" fontId="0" fillId="0" borderId="0" xfId="0" applyBorder="1" applyAlignment="1">
      <alignment horizontal="left" indent="4"/>
    </xf>
    <xf numFmtId="0" fontId="2" fillId="0" borderId="0" xfId="0" applyFont="1" applyBorder="1" applyAlignment="1">
      <alignment horizontal="left" indent="1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2" borderId="1" xfId="0" applyNumberFormat="1" applyFont="1" applyFill="1" applyBorder="1" applyAlignment="1">
      <alignment/>
    </xf>
    <xf numFmtId="1" fontId="2" fillId="2" borderId="15" xfId="0" applyNumberFormat="1" applyFont="1" applyFill="1" applyBorder="1" applyAlignment="1">
      <alignment horizontal="center"/>
    </xf>
    <xf numFmtId="173" fontId="7" fillId="2" borderId="20" xfId="0" applyNumberFormat="1" applyFont="1" applyFill="1" applyBorder="1" applyAlignment="1">
      <alignment horizontal="center"/>
    </xf>
    <xf numFmtId="173" fontId="7" fillId="2" borderId="21" xfId="0" applyNumberFormat="1" applyFont="1" applyFill="1" applyBorder="1" applyAlignment="1">
      <alignment horizontal="center"/>
    </xf>
    <xf numFmtId="173" fontId="7" fillId="2" borderId="22" xfId="0" applyNumberFormat="1" applyFont="1" applyFill="1" applyBorder="1" applyAlignment="1">
      <alignment horizontal="center"/>
    </xf>
    <xf numFmtId="173" fontId="7" fillId="2" borderId="23" xfId="0" applyNumberFormat="1" applyFont="1" applyFill="1" applyBorder="1" applyAlignment="1">
      <alignment horizontal="center"/>
    </xf>
    <xf numFmtId="0" fontId="12" fillId="0" borderId="24" xfId="0" applyFont="1" applyBorder="1" applyAlignment="1">
      <alignment horizontal="left" indent="4"/>
    </xf>
    <xf numFmtId="0" fontId="12" fillId="0" borderId="24" xfId="0" applyFont="1" applyBorder="1" applyAlignment="1">
      <alignment/>
    </xf>
    <xf numFmtId="0" fontId="0" fillId="0" borderId="24" xfId="0" applyBorder="1" applyAlignment="1">
      <alignment/>
    </xf>
    <xf numFmtId="0" fontId="2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3" borderId="6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" xfId="0" applyBorder="1" applyAlignment="1">
      <alignment horizontal="center"/>
    </xf>
    <xf numFmtId="0" fontId="0" fillId="4" borderId="1" xfId="0" applyFill="1" applyBorder="1" applyAlignment="1">
      <alignment horizontal="left" indent="4"/>
    </xf>
    <xf numFmtId="0" fontId="0" fillId="4" borderId="1" xfId="0" applyFill="1" applyBorder="1" applyAlignment="1">
      <alignment/>
    </xf>
    <xf numFmtId="173" fontId="0" fillId="4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2" fontId="0" fillId="4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0" fontId="0" fillId="0" borderId="25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1" fontId="0" fillId="5" borderId="27" xfId="0" applyNumberFormat="1" applyFill="1" applyBorder="1" applyAlignment="1">
      <alignment horizontal="center"/>
    </xf>
    <xf numFmtId="1" fontId="0" fillId="5" borderId="28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5" borderId="28" xfId="0" applyNumberForma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2" fillId="6" borderId="7" xfId="0" applyFont="1" applyFill="1" applyBorder="1" applyAlignment="1">
      <alignment/>
    </xf>
    <xf numFmtId="0" fontId="22" fillId="6" borderId="6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6" xfId="0" applyBorder="1" applyAlignment="1">
      <alignment horizontal="right"/>
    </xf>
    <xf numFmtId="0" fontId="0" fillId="4" borderId="19" xfId="0" applyFill="1" applyBorder="1" applyAlignment="1">
      <alignment/>
    </xf>
    <xf numFmtId="0" fontId="2" fillId="4" borderId="29" xfId="0" applyFont="1" applyFill="1" applyBorder="1" applyAlignment="1">
      <alignment horizontal="center"/>
    </xf>
    <xf numFmtId="173" fontId="0" fillId="4" borderId="19" xfId="0" applyNumberFormat="1" applyFill="1" applyBorder="1" applyAlignment="1">
      <alignment/>
    </xf>
    <xf numFmtId="0" fontId="0" fillId="2" borderId="19" xfId="0" applyFill="1" applyBorder="1" applyAlignment="1">
      <alignment/>
    </xf>
    <xf numFmtId="1" fontId="0" fillId="2" borderId="19" xfId="0" applyNumberFormat="1" applyFill="1" applyBorder="1" applyAlignment="1">
      <alignment/>
    </xf>
    <xf numFmtId="0" fontId="2" fillId="2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4" borderId="19" xfId="0" applyFill="1" applyBorder="1" applyAlignment="1">
      <alignment horizontal="left" indent="4"/>
    </xf>
    <xf numFmtId="2" fontId="0" fillId="2" borderId="19" xfId="0" applyNumberForma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31" xfId="0" applyFont="1" applyBorder="1" applyAlignment="1">
      <alignment/>
    </xf>
    <xf numFmtId="0" fontId="9" fillId="0" borderId="3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9" fillId="0" borderId="0" xfId="0" applyFont="1" applyBorder="1" applyAlignment="1">
      <alignment/>
    </xf>
    <xf numFmtId="0" fontId="22" fillId="4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173" fontId="9" fillId="2" borderId="1" xfId="0" applyNumberFormat="1" applyFont="1" applyFill="1" applyBorder="1" applyAlignment="1">
      <alignment/>
    </xf>
    <xf numFmtId="0" fontId="22" fillId="0" borderId="18" xfId="0" applyFont="1" applyBorder="1" applyAlignment="1">
      <alignment/>
    </xf>
    <xf numFmtId="0" fontId="9" fillId="4" borderId="1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31" xfId="0" applyFont="1" applyBorder="1" applyAlignment="1">
      <alignment horizontal="left" indent="4"/>
    </xf>
    <xf numFmtId="0" fontId="9" fillId="0" borderId="0" xfId="0" applyFont="1" applyAlignment="1">
      <alignment horizontal="left" indent="1"/>
    </xf>
    <xf numFmtId="0" fontId="22" fillId="2" borderId="1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22" fillId="0" borderId="3" xfId="0" applyFont="1" applyBorder="1" applyAlignment="1">
      <alignment/>
    </xf>
    <xf numFmtId="173" fontId="9" fillId="0" borderId="16" xfId="0" applyNumberFormat="1" applyFont="1" applyBorder="1" applyAlignment="1">
      <alignment/>
    </xf>
    <xf numFmtId="173" fontId="9" fillId="0" borderId="5" xfId="0" applyNumberFormat="1" applyFont="1" applyBorder="1" applyAlignment="1">
      <alignment/>
    </xf>
    <xf numFmtId="173" fontId="9" fillId="0" borderId="17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2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/>
    </xf>
    <xf numFmtId="0" fontId="3" fillId="0" borderId="3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6" xfId="0" applyFont="1" applyBorder="1" applyAlignment="1">
      <alignment/>
    </xf>
    <xf numFmtId="173" fontId="20" fillId="4" borderId="1" xfId="0" applyNumberFormat="1" applyFont="1" applyFill="1" applyBorder="1" applyAlignment="1">
      <alignment/>
    </xf>
    <xf numFmtId="0" fontId="20" fillId="4" borderId="1" xfId="0" applyFont="1" applyFill="1" applyBorder="1" applyAlignment="1">
      <alignment/>
    </xf>
    <xf numFmtId="173" fontId="3" fillId="2" borderId="1" xfId="0" applyNumberFormat="1" applyFont="1" applyFill="1" applyBorder="1" applyAlignment="1">
      <alignment/>
    </xf>
    <xf numFmtId="0" fontId="20" fillId="0" borderId="3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1" xfId="0" applyFont="1" applyBorder="1" applyAlignment="1">
      <alignment/>
    </xf>
    <xf numFmtId="0" fontId="3" fillId="0" borderId="0" xfId="0" applyFont="1" applyAlignment="1">
      <alignment horizontal="left" indent="1"/>
    </xf>
    <xf numFmtId="0" fontId="20" fillId="2" borderId="1" xfId="0" applyFont="1" applyFill="1" applyBorder="1" applyAlignment="1">
      <alignment horizontal="center"/>
    </xf>
    <xf numFmtId="0" fontId="20" fillId="0" borderId="3" xfId="0" applyFont="1" applyBorder="1" applyAlignment="1">
      <alignment/>
    </xf>
    <xf numFmtId="0" fontId="20" fillId="6" borderId="19" xfId="0" applyFont="1" applyFill="1" applyBorder="1" applyAlignment="1">
      <alignment/>
    </xf>
    <xf numFmtId="0" fontId="20" fillId="4" borderId="19" xfId="0" applyFont="1" applyFill="1" applyBorder="1" applyAlignment="1">
      <alignment/>
    </xf>
    <xf numFmtId="173" fontId="20" fillId="2" borderId="19" xfId="0" applyNumberFormat="1" applyFont="1" applyFill="1" applyBorder="1" applyAlignment="1">
      <alignment/>
    </xf>
    <xf numFmtId="173" fontId="20" fillId="2" borderId="26" xfId="0" applyNumberFormat="1" applyFont="1" applyFill="1" applyBorder="1" applyAlignment="1">
      <alignment/>
    </xf>
    <xf numFmtId="173" fontId="20" fillId="2" borderId="1" xfId="0" applyNumberFormat="1" applyFont="1" applyFill="1" applyBorder="1" applyAlignment="1">
      <alignment/>
    </xf>
    <xf numFmtId="173" fontId="20" fillId="2" borderId="8" xfId="0" applyNumberFormat="1" applyFont="1" applyFill="1" applyBorder="1" applyAlignment="1">
      <alignment/>
    </xf>
    <xf numFmtId="0" fontId="20" fillId="6" borderId="1" xfId="0" applyFont="1" applyFill="1" applyBorder="1" applyAlignment="1">
      <alignment/>
    </xf>
    <xf numFmtId="0" fontId="20" fillId="0" borderId="38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Alignment="1">
      <alignment vertical="center"/>
    </xf>
    <xf numFmtId="173" fontId="3" fillId="2" borderId="1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3" fillId="6" borderId="3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73" fontId="20" fillId="4" borderId="19" xfId="0" applyNumberFormat="1" applyFont="1" applyFill="1" applyBorder="1" applyAlignment="1">
      <alignment/>
    </xf>
    <xf numFmtId="0" fontId="20" fillId="2" borderId="19" xfId="0" applyFont="1" applyFill="1" applyBorder="1" applyAlignment="1">
      <alignment horizontal="center"/>
    </xf>
    <xf numFmtId="0" fontId="2" fillId="0" borderId="37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39" xfId="0" applyFont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" fontId="0" fillId="2" borderId="28" xfId="0" applyNumberForma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/>
    </xf>
    <xf numFmtId="9" fontId="0" fillId="4" borderId="42" xfId="19" applyFill="1" applyBorder="1" applyAlignment="1">
      <alignment horizontal="center"/>
    </xf>
    <xf numFmtId="173" fontId="0" fillId="2" borderId="43" xfId="0" applyNumberFormat="1" applyFill="1" applyBorder="1" applyAlignment="1">
      <alignment horizontal="center"/>
    </xf>
    <xf numFmtId="9" fontId="0" fillId="4" borderId="26" xfId="19" applyFill="1" applyBorder="1" applyAlignment="1">
      <alignment horizontal="center"/>
    </xf>
    <xf numFmtId="9" fontId="0" fillId="5" borderId="27" xfId="19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2" fontId="0" fillId="2" borderId="42" xfId="0" applyNumberFormat="1" applyFill="1" applyBorder="1" applyAlignment="1">
      <alignment horizontal="center"/>
    </xf>
    <xf numFmtId="2" fontId="0" fillId="2" borderId="43" xfId="0" applyNumberFormat="1" applyFill="1" applyBorder="1" applyAlignment="1">
      <alignment horizontal="center"/>
    </xf>
    <xf numFmtId="0" fontId="0" fillId="0" borderId="5" xfId="0" applyBorder="1" applyAlignment="1">
      <alignment horizontal="left" indent="4"/>
    </xf>
    <xf numFmtId="0" fontId="16" fillId="0" borderId="0" xfId="0" applyFont="1" applyAlignment="1">
      <alignment horizontal="left" indent="1"/>
    </xf>
    <xf numFmtId="1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" fillId="6" borderId="46" xfId="0" applyFont="1" applyFill="1" applyBorder="1" applyAlignment="1">
      <alignment vertical="center"/>
    </xf>
    <xf numFmtId="0" fontId="0" fillId="6" borderId="47" xfId="0" applyFill="1" applyBorder="1" applyAlignment="1">
      <alignment vertical="center"/>
    </xf>
    <xf numFmtId="0" fontId="2" fillId="6" borderId="48" xfId="0" applyFont="1" applyFill="1" applyBorder="1" applyAlignment="1">
      <alignment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2" fontId="0" fillId="2" borderId="19" xfId="0" applyNumberFormat="1" applyFill="1" applyBorder="1" applyAlignment="1">
      <alignment/>
    </xf>
    <xf numFmtId="2" fontId="2" fillId="5" borderId="51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41" xfId="0" applyFont="1" applyBorder="1" applyAlignment="1">
      <alignment horizontal="center"/>
    </xf>
    <xf numFmtId="2" fontId="0" fillId="2" borderId="42" xfId="0" applyNumberFormat="1" applyFill="1" applyBorder="1" applyAlignment="1">
      <alignment/>
    </xf>
    <xf numFmtId="2" fontId="2" fillId="2" borderId="43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0" fillId="2" borderId="52" xfId="0" applyNumberFormat="1" applyFill="1" applyBorder="1" applyAlignment="1">
      <alignment/>
    </xf>
    <xf numFmtId="2" fontId="2" fillId="2" borderId="28" xfId="0" applyNumberFormat="1" applyFont="1" applyFill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53" xfId="0" applyBorder="1" applyAlignment="1">
      <alignment/>
    </xf>
    <xf numFmtId="0" fontId="2" fillId="3" borderId="54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2" fontId="12" fillId="2" borderId="8" xfId="0" applyNumberFormat="1" applyFont="1" applyFill="1" applyBorder="1" applyAlignment="1">
      <alignment horizontal="center"/>
    </xf>
    <xf numFmtId="2" fontId="12" fillId="2" borderId="27" xfId="0" applyNumberFormat="1" applyFont="1" applyFill="1" applyBorder="1" applyAlignment="1">
      <alignment horizontal="center"/>
    </xf>
    <xf numFmtId="2" fontId="12" fillId="2" borderId="57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2" fontId="12" fillId="2" borderId="28" xfId="0" applyNumberFormat="1" applyFont="1" applyFill="1" applyBorder="1" applyAlignment="1">
      <alignment horizontal="center"/>
    </xf>
    <xf numFmtId="2" fontId="12" fillId="7" borderId="1" xfId="0" applyNumberFormat="1" applyFont="1" applyFill="1" applyBorder="1" applyAlignment="1">
      <alignment horizontal="center"/>
    </xf>
    <xf numFmtId="0" fontId="7" fillId="7" borderId="6" xfId="0" applyFont="1" applyFill="1" applyBorder="1" applyAlignment="1">
      <alignment/>
    </xf>
    <xf numFmtId="0" fontId="20" fillId="0" borderId="18" xfId="0" applyFont="1" applyBorder="1" applyAlignment="1">
      <alignment/>
    </xf>
    <xf numFmtId="0" fontId="22" fillId="0" borderId="4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3" fontId="9" fillId="2" borderId="1" xfId="0" applyNumberFormat="1" applyFont="1" applyFill="1" applyBorder="1" applyAlignment="1">
      <alignment vertical="center"/>
    </xf>
    <xf numFmtId="0" fontId="28" fillId="0" borderId="0" xfId="0" applyFont="1" applyAlignment="1">
      <alignment horizontal="left" indent="3"/>
    </xf>
    <xf numFmtId="0" fontId="20" fillId="0" borderId="5" xfId="0" applyFont="1" applyBorder="1" applyAlignment="1">
      <alignment/>
    </xf>
    <xf numFmtId="2" fontId="12" fillId="7" borderId="26" xfId="0" applyNumberFormat="1" applyFont="1" applyFill="1" applyBorder="1" applyAlignment="1" quotePrefix="1">
      <alignment horizontal="center"/>
    </xf>
    <xf numFmtId="2" fontId="12" fillId="2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7" fillId="2" borderId="15" xfId="0" applyNumberFormat="1" applyFont="1" applyFill="1" applyBorder="1" applyAlignment="1">
      <alignment horizontal="center"/>
    </xf>
    <xf numFmtId="0" fontId="7" fillId="6" borderId="23" xfId="0" applyFont="1" applyFill="1" applyBorder="1" applyAlignment="1">
      <alignment horizontal="right"/>
    </xf>
    <xf numFmtId="173" fontId="7" fillId="4" borderId="1" xfId="0" applyNumberFormat="1" applyFont="1" applyFill="1" applyBorder="1" applyAlignment="1">
      <alignment/>
    </xf>
    <xf numFmtId="0" fontId="7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6" borderId="7" xfId="0" applyFont="1" applyFill="1" applyBorder="1" applyAlignment="1">
      <alignment/>
    </xf>
    <xf numFmtId="0" fontId="12" fillId="6" borderId="53" xfId="0" applyFont="1" applyFill="1" applyBorder="1" applyAlignment="1">
      <alignment/>
    </xf>
    <xf numFmtId="0" fontId="12" fillId="6" borderId="6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1" fontId="0" fillId="7" borderId="57" xfId="0" applyNumberFormat="1" applyFill="1" applyBorder="1" applyAlignment="1">
      <alignment horizontal="center"/>
    </xf>
    <xf numFmtId="1" fontId="0" fillId="4" borderId="19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1" fontId="0" fillId="2" borderId="53" xfId="0" applyNumberFormat="1" applyFill="1" applyBorder="1" applyAlignment="1">
      <alignment horizontal="center"/>
    </xf>
    <xf numFmtId="1" fontId="0" fillId="5" borderId="61" xfId="0" applyNumberForma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5" borderId="62" xfId="0" applyNumberFormat="1" applyFill="1" applyBorder="1" applyAlignment="1">
      <alignment horizontal="center"/>
    </xf>
    <xf numFmtId="0" fontId="0" fillId="6" borderId="15" xfId="0" applyFill="1" applyBorder="1" applyAlignment="1">
      <alignment/>
    </xf>
    <xf numFmtId="0" fontId="0" fillId="0" borderId="0" xfId="0" applyFont="1" applyAlignment="1">
      <alignment/>
    </xf>
    <xf numFmtId="173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173" fontId="2" fillId="2" borderId="1" xfId="0" applyNumberFormat="1" applyFont="1" applyFill="1" applyBorder="1" applyAlignment="1">
      <alignment/>
    </xf>
    <xf numFmtId="173" fontId="0" fillId="4" borderId="19" xfId="0" applyNumberFormat="1" applyFont="1" applyFill="1" applyBorder="1" applyAlignment="1">
      <alignment/>
    </xf>
    <xf numFmtId="0" fontId="0" fillId="6" borderId="53" xfId="0" applyFill="1" applyBorder="1" applyAlignment="1">
      <alignment/>
    </xf>
    <xf numFmtId="0" fontId="0" fillId="6" borderId="6" xfId="0" applyFill="1" applyBorder="1" applyAlignment="1">
      <alignment/>
    </xf>
    <xf numFmtId="0" fontId="7" fillId="6" borderId="7" xfId="0" applyFont="1" applyFill="1" applyBorder="1" applyAlignment="1">
      <alignment horizontal="left" indent="1"/>
    </xf>
    <xf numFmtId="2" fontId="0" fillId="5" borderId="63" xfId="0" applyNumberFormat="1" applyFill="1" applyBorder="1" applyAlignment="1">
      <alignment horizontal="center"/>
    </xf>
    <xf numFmtId="2" fontId="0" fillId="5" borderId="64" xfId="0" applyNumberFormat="1" applyFill="1" applyBorder="1" applyAlignment="1">
      <alignment horizontal="center"/>
    </xf>
    <xf numFmtId="173" fontId="3" fillId="4" borderId="1" xfId="0" applyNumberFormat="1" applyFont="1" applyFill="1" applyBorder="1" applyAlignment="1">
      <alignment/>
    </xf>
    <xf numFmtId="0" fontId="20" fillId="0" borderId="31" xfId="0" applyFont="1" applyBorder="1" applyAlignment="1">
      <alignment/>
    </xf>
    <xf numFmtId="0" fontId="12" fillId="4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right"/>
    </xf>
    <xf numFmtId="2" fontId="2" fillId="5" borderId="15" xfId="0" applyNumberFormat="1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0" fillId="4" borderId="31" xfId="0" applyFill="1" applyBorder="1" applyAlignment="1">
      <alignment/>
    </xf>
    <xf numFmtId="0" fontId="0" fillId="4" borderId="0" xfId="0" applyFill="1" applyAlignment="1">
      <alignment/>
    </xf>
    <xf numFmtId="0" fontId="0" fillId="0" borderId="65" xfId="0" applyBorder="1" applyAlignment="1">
      <alignment horizontal="left" indent="3"/>
    </xf>
    <xf numFmtId="173" fontId="20" fillId="2" borderId="42" xfId="0" applyNumberFormat="1" applyFont="1" applyFill="1" applyBorder="1" applyAlignment="1">
      <alignment/>
    </xf>
    <xf numFmtId="173" fontId="20" fillId="2" borderId="43" xfId="0" applyNumberFormat="1" applyFont="1" applyFill="1" applyBorder="1" applyAlignment="1">
      <alignment/>
    </xf>
    <xf numFmtId="0" fontId="22" fillId="0" borderId="40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1" fillId="0" borderId="0" xfId="0" applyFont="1" applyBorder="1" applyAlignment="1">
      <alignment horizontal="left" indent="2"/>
    </xf>
    <xf numFmtId="0" fontId="21" fillId="0" borderId="18" xfId="0" applyFont="1" applyBorder="1" applyAlignment="1">
      <alignment horizontal="left" indent="2"/>
    </xf>
    <xf numFmtId="0" fontId="23" fillId="0" borderId="0" xfId="0" applyFont="1" applyAlignment="1">
      <alignment/>
    </xf>
    <xf numFmtId="0" fontId="20" fillId="2" borderId="42" xfId="0" applyFont="1" applyFill="1" applyBorder="1" applyAlignment="1">
      <alignment/>
    </xf>
    <xf numFmtId="0" fontId="22" fillId="0" borderId="40" xfId="0" applyFont="1" applyBorder="1" applyAlignment="1">
      <alignment/>
    </xf>
    <xf numFmtId="0" fontId="9" fillId="2" borderId="52" xfId="0" applyFont="1" applyFill="1" applyBorder="1" applyAlignment="1">
      <alignment/>
    </xf>
    <xf numFmtId="173" fontId="9" fillId="2" borderId="66" xfId="0" applyNumberFormat="1" applyFont="1" applyFill="1" applyBorder="1" applyAlignment="1">
      <alignment/>
    </xf>
    <xf numFmtId="0" fontId="22" fillId="0" borderId="39" xfId="0" applyFont="1" applyBorder="1" applyAlignment="1">
      <alignment horizontal="center"/>
    </xf>
    <xf numFmtId="173" fontId="9" fillId="2" borderId="52" xfId="0" applyNumberFormat="1" applyFont="1" applyFill="1" applyBorder="1" applyAlignment="1">
      <alignment/>
    </xf>
    <xf numFmtId="0" fontId="0" fillId="2" borderId="2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9" fontId="0" fillId="0" borderId="0" xfId="19" applyBorder="1" applyAlignment="1">
      <alignment horizontal="center"/>
    </xf>
    <xf numFmtId="9" fontId="0" fillId="0" borderId="0" xfId="0" applyNumberFormat="1" applyBorder="1" applyAlignment="1">
      <alignment horizontal="center"/>
    </xf>
    <xf numFmtId="186" fontId="2" fillId="0" borderId="67" xfId="15" applyNumberFormat="1" applyFont="1" applyBorder="1" applyAlignment="1">
      <alignment/>
    </xf>
    <xf numFmtId="0" fontId="2" fillId="0" borderId="67" xfId="19" applyNumberFormat="1" applyFont="1" applyBorder="1" applyAlignment="1">
      <alignment horizontal="center"/>
    </xf>
    <xf numFmtId="186" fontId="2" fillId="0" borderId="65" xfId="15" applyNumberFormat="1" applyFont="1" applyBorder="1" applyAlignment="1">
      <alignment horizontal="center"/>
    </xf>
    <xf numFmtId="2" fontId="2" fillId="0" borderId="67" xfId="19" applyNumberFormat="1" applyFont="1" applyBorder="1" applyAlignment="1">
      <alignment horizontal="center"/>
    </xf>
    <xf numFmtId="0" fontId="2" fillId="0" borderId="42" xfId="19" applyNumberFormat="1" applyFont="1" applyBorder="1" applyAlignment="1">
      <alignment horizontal="center"/>
    </xf>
    <xf numFmtId="0" fontId="2" fillId="0" borderId="43" xfId="19" applyNumberFormat="1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2" borderId="46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186" fontId="1" fillId="2" borderId="15" xfId="15" applyNumberFormat="1" applyFont="1" applyFill="1" applyBorder="1" applyAlignment="1">
      <alignment/>
    </xf>
    <xf numFmtId="2" fontId="1" fillId="2" borderId="15" xfId="19" applyNumberFormat="1" applyFont="1" applyFill="1" applyBorder="1" applyAlignment="1">
      <alignment horizontal="center"/>
    </xf>
    <xf numFmtId="186" fontId="1" fillId="2" borderId="15" xfId="15" applyNumberFormat="1" applyFont="1" applyFill="1" applyBorder="1" applyAlignment="1">
      <alignment horizontal="center"/>
    </xf>
    <xf numFmtId="0" fontId="7" fillId="6" borderId="68" xfId="0" applyFont="1" applyFill="1" applyBorder="1" applyAlignment="1">
      <alignment horizontal="center"/>
    </xf>
    <xf numFmtId="0" fontId="2" fillId="6" borderId="69" xfId="0" applyFont="1" applyFill="1" applyBorder="1" applyAlignment="1">
      <alignment horizontal="center"/>
    </xf>
    <xf numFmtId="0" fontId="2" fillId="6" borderId="70" xfId="0" applyFont="1" applyFill="1" applyBorder="1" applyAlignment="1">
      <alignment horizontal="center"/>
    </xf>
    <xf numFmtId="9" fontId="7" fillId="6" borderId="71" xfId="19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12" fillId="4" borderId="0" xfId="0" applyFont="1" applyFill="1" applyAlignment="1" applyProtection="1">
      <alignment horizontal="left" indent="2"/>
      <protection locked="0"/>
    </xf>
    <xf numFmtId="0" fontId="12" fillId="4" borderId="1" xfId="0" applyFont="1" applyFill="1" applyBorder="1" applyAlignment="1" applyProtection="1">
      <alignment/>
      <protection locked="0"/>
    </xf>
    <xf numFmtId="0" fontId="12" fillId="4" borderId="7" xfId="0" applyFont="1" applyFill="1" applyBorder="1" applyAlignment="1" applyProtection="1">
      <alignment/>
      <protection locked="0"/>
    </xf>
    <xf numFmtId="0" fontId="12" fillId="4" borderId="33" xfId="0" applyFont="1" applyFill="1" applyBorder="1" applyAlignment="1" applyProtection="1">
      <alignment/>
      <protection locked="0"/>
    </xf>
    <xf numFmtId="0" fontId="12" fillId="4" borderId="37" xfId="0" applyFont="1" applyFill="1" applyBorder="1" applyAlignment="1" applyProtection="1">
      <alignment/>
      <protection locked="0"/>
    </xf>
    <xf numFmtId="0" fontId="12" fillId="4" borderId="0" xfId="0" applyFont="1" applyFill="1" applyBorder="1" applyAlignment="1" applyProtection="1">
      <alignment horizontal="left" indent="2"/>
      <protection locked="0"/>
    </xf>
    <xf numFmtId="0" fontId="12" fillId="4" borderId="0" xfId="0" applyFont="1" applyFill="1" applyBorder="1" applyAlignment="1" applyProtection="1">
      <alignment/>
      <protection locked="0"/>
    </xf>
    <xf numFmtId="0" fontId="7" fillId="0" borderId="46" xfId="0" applyFont="1" applyBorder="1" applyAlignment="1">
      <alignment horizontal="left" indent="2"/>
    </xf>
    <xf numFmtId="0" fontId="10" fillId="0" borderId="0" xfId="0" applyFont="1" applyAlignment="1">
      <alignment horizontal="center"/>
    </xf>
    <xf numFmtId="0" fontId="7" fillId="4" borderId="1" xfId="0" applyFont="1" applyFill="1" applyBorder="1" applyAlignment="1" applyProtection="1">
      <alignment/>
      <protection locked="0"/>
    </xf>
    <xf numFmtId="172" fontId="2" fillId="4" borderId="1" xfId="0" applyNumberFormat="1" applyFont="1" applyFill="1" applyBorder="1" applyAlignment="1" applyProtection="1">
      <alignment/>
      <protection locked="0"/>
    </xf>
    <xf numFmtId="0" fontId="12" fillId="2" borderId="50" xfId="0" applyFont="1" applyFill="1" applyBorder="1" applyAlignment="1">
      <alignment horizontal="center"/>
    </xf>
    <xf numFmtId="173" fontId="2" fillId="2" borderId="72" xfId="0" applyNumberFormat="1" applyFont="1" applyFill="1" applyBorder="1" applyAlignment="1">
      <alignment horizontal="center"/>
    </xf>
    <xf numFmtId="173" fontId="2" fillId="2" borderId="73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73" fontId="7" fillId="2" borderId="67" xfId="0" applyNumberFormat="1" applyFont="1" applyFill="1" applyBorder="1" applyAlignment="1">
      <alignment horizontal="center"/>
    </xf>
    <xf numFmtId="173" fontId="7" fillId="2" borderId="74" xfId="0" applyNumberFormat="1" applyFont="1" applyFill="1" applyBorder="1" applyAlignment="1">
      <alignment horizontal="center"/>
    </xf>
    <xf numFmtId="0" fontId="7" fillId="6" borderId="16" xfId="0" applyFont="1" applyFill="1" applyBorder="1" applyAlignment="1">
      <alignment/>
    </xf>
    <xf numFmtId="1" fontId="0" fillId="0" borderId="0" xfId="0" applyNumberFormat="1" applyAlignment="1">
      <alignment/>
    </xf>
    <xf numFmtId="173" fontId="0" fillId="2" borderId="75" xfId="0" applyNumberFormat="1" applyFill="1" applyBorder="1" applyAlignment="1">
      <alignment horizontal="center"/>
    </xf>
    <xf numFmtId="173" fontId="0" fillId="2" borderId="75" xfId="0" applyNumberFormat="1" applyFill="1" applyBorder="1" applyAlignment="1">
      <alignment/>
    </xf>
    <xf numFmtId="173" fontId="0" fillId="2" borderId="27" xfId="0" applyNumberFormat="1" applyFill="1" applyBorder="1" applyAlignment="1">
      <alignment/>
    </xf>
    <xf numFmtId="173" fontId="0" fillId="2" borderId="57" xfId="0" applyNumberFormat="1" applyFill="1" applyBorder="1" applyAlignment="1">
      <alignment/>
    </xf>
    <xf numFmtId="173" fontId="0" fillId="2" borderId="28" xfId="0" applyNumberFormat="1" applyFill="1" applyBorder="1" applyAlignment="1">
      <alignment/>
    </xf>
    <xf numFmtId="173" fontId="2" fillId="5" borderId="23" xfId="0" applyNumberFormat="1" applyFont="1" applyFill="1" applyBorder="1" applyAlignment="1">
      <alignment/>
    </xf>
    <xf numFmtId="0" fontId="10" fillId="0" borderId="0" xfId="0" applyFont="1" applyAlignment="1">
      <alignment horizontal="left" indent="3"/>
    </xf>
    <xf numFmtId="2" fontId="0" fillId="2" borderId="2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73" fontId="2" fillId="4" borderId="1" xfId="0" applyNumberFormat="1" applyFont="1" applyFill="1" applyBorder="1" applyAlignment="1">
      <alignment horizontal="center"/>
    </xf>
    <xf numFmtId="0" fontId="20" fillId="0" borderId="37" xfId="0" applyFont="1" applyBorder="1" applyAlignment="1">
      <alignment/>
    </xf>
    <xf numFmtId="173" fontId="9" fillId="2" borderId="76" xfId="0" applyNumberFormat="1" applyFont="1" applyFill="1" applyBorder="1" applyAlignment="1">
      <alignment/>
    </xf>
    <xf numFmtId="0" fontId="2" fillId="6" borderId="77" xfId="0" applyFont="1" applyFill="1" applyBorder="1" applyAlignment="1">
      <alignment horizontal="center"/>
    </xf>
    <xf numFmtId="0" fontId="2" fillId="6" borderId="54" xfId="0" applyFont="1" applyFill="1" applyBorder="1" applyAlignment="1">
      <alignment horizontal="center"/>
    </xf>
    <xf numFmtId="0" fontId="2" fillId="6" borderId="78" xfId="0" applyFont="1" applyFill="1" applyBorder="1" applyAlignment="1">
      <alignment horizontal="center"/>
    </xf>
    <xf numFmtId="0" fontId="2" fillId="6" borderId="79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" fontId="12" fillId="2" borderId="32" xfId="0" applyNumberFormat="1" applyFont="1" applyFill="1" applyBorder="1" applyAlignment="1">
      <alignment horizontal="center"/>
    </xf>
    <xf numFmtId="1" fontId="12" fillId="2" borderId="39" xfId="0" applyNumberFormat="1" applyFont="1" applyFill="1" applyBorder="1" applyAlignment="1">
      <alignment horizontal="center"/>
    </xf>
    <xf numFmtId="1" fontId="12" fillId="7" borderId="40" xfId="0" applyNumberFormat="1" applyFont="1" applyFill="1" applyBorder="1" applyAlignment="1" quotePrefix="1">
      <alignment horizontal="center"/>
    </xf>
    <xf numFmtId="1" fontId="12" fillId="7" borderId="29" xfId="0" applyNumberFormat="1" applyFont="1" applyFill="1" applyBorder="1" applyAlignment="1">
      <alignment horizontal="center"/>
    </xf>
    <xf numFmtId="1" fontId="12" fillId="2" borderId="41" xfId="0" applyNumberFormat="1" applyFont="1" applyFill="1" applyBorder="1" applyAlignment="1">
      <alignment horizontal="center"/>
    </xf>
    <xf numFmtId="2" fontId="7" fillId="2" borderId="37" xfId="0" applyNumberFormat="1" applyFont="1" applyFill="1" applyBorder="1" applyAlignment="1">
      <alignment horizontal="center"/>
    </xf>
    <xf numFmtId="2" fontId="7" fillId="7" borderId="42" xfId="0" applyNumberFormat="1" applyFont="1" applyFill="1" applyBorder="1" applyAlignment="1" quotePrefix="1">
      <alignment horizontal="center"/>
    </xf>
    <xf numFmtId="2" fontId="7" fillId="7" borderId="19" xfId="0" applyNumberFormat="1" applyFont="1" applyFill="1" applyBorder="1" applyAlignment="1">
      <alignment horizontal="center"/>
    </xf>
    <xf numFmtId="2" fontId="7" fillId="2" borderId="43" xfId="0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7" fillId="0" borderId="7" xfId="0" applyFont="1" applyBorder="1" applyAlignment="1">
      <alignment horizontal="left" indent="1"/>
    </xf>
    <xf numFmtId="0" fontId="0" fillId="0" borderId="6" xfId="0" applyBorder="1" applyAlignment="1">
      <alignment horizontal="left" indent="4"/>
    </xf>
    <xf numFmtId="0" fontId="12" fillId="2" borderId="2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2" fontId="7" fillId="2" borderId="26" xfId="0" applyNumberFormat="1" applyFont="1" applyFill="1" applyBorder="1" applyAlignment="1">
      <alignment/>
    </xf>
    <xf numFmtId="2" fontId="7" fillId="2" borderId="8" xfId="0" applyNumberFormat="1" applyFont="1" applyFill="1" applyBorder="1" applyAlignment="1">
      <alignment/>
    </xf>
    <xf numFmtId="2" fontId="7" fillId="7" borderId="1" xfId="0" applyNumberFormat="1" applyFont="1" applyFill="1" applyBorder="1" applyAlignment="1">
      <alignment horizontal="center"/>
    </xf>
    <xf numFmtId="0" fontId="12" fillId="4" borderId="74" xfId="0" applyFont="1" applyFill="1" applyBorder="1" applyAlignment="1">
      <alignment horizontal="center"/>
    </xf>
    <xf numFmtId="0" fontId="12" fillId="2" borderId="80" xfId="0" applyFont="1" applyFill="1" applyBorder="1" applyAlignment="1">
      <alignment horizontal="center"/>
    </xf>
    <xf numFmtId="0" fontId="0" fillId="2" borderId="47" xfId="0" applyFill="1" applyBorder="1" applyAlignment="1">
      <alignment/>
    </xf>
    <xf numFmtId="0" fontId="12" fillId="2" borderId="74" xfId="0" applyFont="1" applyFill="1" applyBorder="1" applyAlignment="1">
      <alignment horizontal="center"/>
    </xf>
    <xf numFmtId="2" fontId="7" fillId="2" borderId="43" xfId="0" applyNumberFormat="1" applyFont="1" applyFill="1" applyBorder="1" applyAlignment="1">
      <alignment/>
    </xf>
    <xf numFmtId="2" fontId="0" fillId="2" borderId="30" xfId="0" applyNumberFormat="1" applyFill="1" applyBorder="1" applyAlignment="1">
      <alignment horizontal="center"/>
    </xf>
    <xf numFmtId="2" fontId="1" fillId="2" borderId="15" xfId="0" applyNumberFormat="1" applyFont="1" applyFill="1" applyBorder="1" applyAlignment="1">
      <alignment/>
    </xf>
    <xf numFmtId="2" fontId="7" fillId="7" borderId="26" xfId="0" applyNumberFormat="1" applyFont="1" applyFill="1" applyBorder="1" applyAlignment="1" quotePrefix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2" borderId="52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indent="6"/>
    </xf>
    <xf numFmtId="0" fontId="2" fillId="0" borderId="0" xfId="0" applyFont="1" applyAlignment="1">
      <alignment horizontal="left" indent="6"/>
    </xf>
    <xf numFmtId="2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7" fillId="0" borderId="0" xfId="0" applyFont="1" applyAlignment="1">
      <alignment horizontal="left" indent="6"/>
    </xf>
    <xf numFmtId="0" fontId="0" fillId="0" borderId="18" xfId="0" applyBorder="1" applyAlignment="1">
      <alignment horizontal="left" indent="4"/>
    </xf>
    <xf numFmtId="2" fontId="2" fillId="2" borderId="7" xfId="0" applyNumberFormat="1" applyFont="1" applyFill="1" applyBorder="1" applyAlignment="1">
      <alignment/>
    </xf>
    <xf numFmtId="2" fontId="2" fillId="2" borderId="6" xfId="0" applyNumberFormat="1" applyFont="1" applyFill="1" applyBorder="1" applyAlignment="1">
      <alignment/>
    </xf>
    <xf numFmtId="173" fontId="1" fillId="2" borderId="51" xfId="0" applyNumberFormat="1" applyFont="1" applyFill="1" applyBorder="1" applyAlignment="1">
      <alignment/>
    </xf>
    <xf numFmtId="173" fontId="1" fillId="2" borderId="52" xfId="0" applyNumberFormat="1" applyFont="1" applyFill="1" applyBorder="1" applyAlignment="1">
      <alignment/>
    </xf>
    <xf numFmtId="0" fontId="0" fillId="0" borderId="81" xfId="0" applyBorder="1" applyAlignment="1">
      <alignment/>
    </xf>
    <xf numFmtId="2" fontId="2" fillId="2" borderId="26" xfId="0" applyNumberFormat="1" applyFont="1" applyFill="1" applyBorder="1" applyAlignment="1">
      <alignment/>
    </xf>
    <xf numFmtId="1" fontId="2" fillId="2" borderId="26" xfId="0" applyNumberFormat="1" applyFont="1" applyFill="1" applyBorder="1" applyAlignment="1">
      <alignment/>
    </xf>
    <xf numFmtId="173" fontId="1" fillId="2" borderId="82" xfId="0" applyNumberFormat="1" applyFont="1" applyFill="1" applyBorder="1" applyAlignment="1">
      <alignment/>
    </xf>
    <xf numFmtId="1" fontId="2" fillId="2" borderId="8" xfId="0" applyNumberFormat="1" applyFont="1" applyFill="1" applyBorder="1" applyAlignment="1">
      <alignment horizontal="center"/>
    </xf>
    <xf numFmtId="173" fontId="1" fillId="2" borderId="83" xfId="0" applyNumberFormat="1" applyFont="1" applyFill="1" applyBorder="1" applyAlignment="1">
      <alignment/>
    </xf>
    <xf numFmtId="173" fontId="1" fillId="2" borderId="84" xfId="0" applyNumberFormat="1" applyFont="1" applyFill="1" applyBorder="1" applyAlignment="1">
      <alignment/>
    </xf>
    <xf numFmtId="173" fontId="1" fillId="2" borderId="17" xfId="0" applyNumberFormat="1" applyFont="1" applyFill="1" applyBorder="1" applyAlignment="1">
      <alignment/>
    </xf>
    <xf numFmtId="2" fontId="2" fillId="0" borderId="60" xfId="0" applyNumberFormat="1" applyFont="1" applyBorder="1" applyAlignment="1">
      <alignment horizontal="center"/>
    </xf>
    <xf numFmtId="0" fontId="2" fillId="0" borderId="36" xfId="0" applyFont="1" applyBorder="1" applyAlignment="1">
      <alignment horizontal="left" indent="1"/>
    </xf>
    <xf numFmtId="2" fontId="2" fillId="5" borderId="8" xfId="0" applyNumberFormat="1" applyFont="1" applyFill="1" applyBorder="1" applyAlignment="1">
      <alignment horizontal="center"/>
    </xf>
    <xf numFmtId="1" fontId="2" fillId="5" borderId="8" xfId="0" applyNumberFormat="1" applyFont="1" applyFill="1" applyBorder="1" applyAlignment="1">
      <alignment horizontal="center"/>
    </xf>
    <xf numFmtId="0" fontId="2" fillId="5" borderId="8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0" fillId="2" borderId="19" xfId="0" applyFill="1" applyBorder="1" applyAlignment="1">
      <alignment horizontal="left" indent="4"/>
    </xf>
    <xf numFmtId="1" fontId="7" fillId="2" borderId="1" xfId="0" applyNumberFormat="1" applyFont="1" applyFill="1" applyBorder="1" applyAlignment="1">
      <alignment/>
    </xf>
    <xf numFmtId="181" fontId="7" fillId="2" borderId="1" xfId="0" applyNumberFormat="1" applyFont="1" applyFill="1" applyBorder="1" applyAlignment="1">
      <alignment/>
    </xf>
    <xf numFmtId="173" fontId="0" fillId="2" borderId="19" xfId="0" applyNumberFormat="1" applyFill="1" applyBorder="1" applyAlignment="1">
      <alignment/>
    </xf>
    <xf numFmtId="2" fontId="2" fillId="2" borderId="6" xfId="0" applyNumberFormat="1" applyFont="1" applyFill="1" applyBorder="1" applyAlignment="1" quotePrefix="1">
      <alignment/>
    </xf>
    <xf numFmtId="0" fontId="2" fillId="4" borderId="1" xfId="0" applyFont="1" applyFill="1" applyBorder="1" applyAlignment="1">
      <alignment horizontal="center"/>
    </xf>
    <xf numFmtId="173" fontId="12" fillId="2" borderId="6" xfId="0" applyNumberFormat="1" applyFont="1" applyFill="1" applyBorder="1" applyAlignment="1">
      <alignment horizontal="center"/>
    </xf>
    <xf numFmtId="0" fontId="2" fillId="0" borderId="4" xfId="19" applyNumberFormat="1" applyFont="1" applyBorder="1" applyAlignment="1">
      <alignment horizontal="center"/>
    </xf>
    <xf numFmtId="0" fontId="2" fillId="8" borderId="85" xfId="19" applyNumberFormat="1" applyFont="1" applyFill="1" applyBorder="1" applyAlignment="1">
      <alignment horizontal="center"/>
    </xf>
    <xf numFmtId="186" fontId="2" fillId="8" borderId="77" xfId="15" applyNumberFormat="1" applyFont="1" applyFill="1" applyBorder="1" applyAlignment="1">
      <alignment/>
    </xf>
    <xf numFmtId="2" fontId="2" fillId="8" borderId="77" xfId="19" applyNumberFormat="1" applyFont="1" applyFill="1" applyBorder="1" applyAlignment="1">
      <alignment horizontal="center"/>
    </xf>
    <xf numFmtId="186" fontId="2" fillId="8" borderId="4" xfId="15" applyNumberFormat="1" applyFont="1" applyFill="1" applyBorder="1" applyAlignment="1">
      <alignment horizontal="center"/>
    </xf>
    <xf numFmtId="1" fontId="2" fillId="0" borderId="74" xfId="19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73" fontId="0" fillId="5" borderId="1" xfId="0" applyNumberFormat="1" applyFill="1" applyBorder="1" applyAlignment="1">
      <alignment/>
    </xf>
    <xf numFmtId="2" fontId="2" fillId="0" borderId="8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/>
    </xf>
    <xf numFmtId="0" fontId="7" fillId="6" borderId="17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center"/>
    </xf>
    <xf numFmtId="173" fontId="0" fillId="2" borderId="86" xfId="0" applyNumberFormat="1" applyFill="1" applyBorder="1" applyAlignment="1">
      <alignment/>
    </xf>
    <xf numFmtId="0" fontId="2" fillId="0" borderId="26" xfId="19" applyNumberFormat="1" applyFont="1" applyBorder="1" applyAlignment="1">
      <alignment horizontal="center"/>
    </xf>
    <xf numFmtId="0" fontId="2" fillId="8" borderId="8" xfId="19" applyNumberFormat="1" applyFont="1" applyFill="1" applyBorder="1" applyAlignment="1">
      <alignment horizontal="center"/>
    </xf>
    <xf numFmtId="186" fontId="2" fillId="0" borderId="87" xfId="15" applyNumberFormat="1" applyFont="1" applyBorder="1" applyAlignment="1">
      <alignment/>
    </xf>
    <xf numFmtId="2" fontId="2" fillId="0" borderId="87" xfId="19" applyNumberFormat="1" applyFont="1" applyBorder="1" applyAlignment="1">
      <alignment horizontal="center"/>
    </xf>
    <xf numFmtId="186" fontId="2" fillId="0" borderId="88" xfId="15" applyNumberFormat="1" applyFont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57" xfId="0" applyFill="1" applyBorder="1" applyAlignment="1">
      <alignment horizontal="left" indent="4"/>
    </xf>
    <xf numFmtId="0" fontId="0" fillId="4" borderId="57" xfId="0" applyFill="1" applyBorder="1" applyAlignment="1">
      <alignment/>
    </xf>
    <xf numFmtId="0" fontId="0" fillId="2" borderId="57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indent="4"/>
    </xf>
    <xf numFmtId="0" fontId="0" fillId="0" borderId="0" xfId="0" applyFill="1" applyBorder="1" applyAlignment="1">
      <alignment/>
    </xf>
    <xf numFmtId="9" fontId="0" fillId="4" borderId="26" xfId="19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2" fontId="7" fillId="2" borderId="75" xfId="0" applyNumberFormat="1" applyFont="1" applyFill="1" applyBorder="1" applyAlignment="1">
      <alignment/>
    </xf>
    <xf numFmtId="9" fontId="7" fillId="6" borderId="68" xfId="19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2" fillId="2" borderId="1" xfId="0" applyNumberFormat="1" applyFont="1" applyFill="1" applyBorder="1" applyAlignment="1">
      <alignment horizontal="center"/>
    </xf>
    <xf numFmtId="0" fontId="2" fillId="6" borderId="16" xfId="0" applyFont="1" applyFill="1" applyBorder="1" applyAlignment="1">
      <alignment horizontal="left" indent="4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/>
    </xf>
    <xf numFmtId="0" fontId="2" fillId="6" borderId="89" xfId="0" applyFont="1" applyFill="1" applyBorder="1" applyAlignment="1">
      <alignment horizontal="left" indent="4"/>
    </xf>
    <xf numFmtId="0" fontId="0" fillId="6" borderId="90" xfId="0" applyFill="1" applyBorder="1" applyAlignment="1">
      <alignment horizontal="center"/>
    </xf>
    <xf numFmtId="0" fontId="0" fillId="6" borderId="91" xfId="0" applyFill="1" applyBorder="1" applyAlignment="1">
      <alignment/>
    </xf>
    <xf numFmtId="1" fontId="2" fillId="2" borderId="28" xfId="0" applyNumberFormat="1" applyFont="1" applyFill="1" applyBorder="1" applyAlignment="1">
      <alignment horizontal="center"/>
    </xf>
    <xf numFmtId="173" fontId="2" fillId="2" borderId="56" xfId="0" applyNumberFormat="1" applyFont="1" applyFill="1" applyBorder="1" applyAlignment="1">
      <alignment horizontal="center"/>
    </xf>
    <xf numFmtId="173" fontId="2" fillId="2" borderId="28" xfId="0" applyNumberFormat="1" applyFont="1" applyFill="1" applyBorder="1" applyAlignment="1">
      <alignment horizontal="center"/>
    </xf>
    <xf numFmtId="2" fontId="0" fillId="2" borderId="57" xfId="0" applyNumberFormat="1" applyFill="1" applyBorder="1" applyAlignment="1">
      <alignment/>
    </xf>
    <xf numFmtId="2" fontId="2" fillId="2" borderId="56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2" fillId="2" borderId="3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86" xfId="0" applyFont="1" applyFill="1" applyBorder="1" applyAlignment="1">
      <alignment/>
    </xf>
    <xf numFmtId="173" fontId="2" fillId="2" borderId="92" xfId="0" applyNumberFormat="1" applyFont="1" applyFill="1" applyBorder="1" applyAlignment="1">
      <alignment/>
    </xf>
    <xf numFmtId="173" fontId="2" fillId="2" borderId="93" xfId="0" applyNumberFormat="1" applyFont="1" applyFill="1" applyBorder="1" applyAlignment="1">
      <alignment/>
    </xf>
    <xf numFmtId="173" fontId="2" fillId="2" borderId="15" xfId="0" applyNumberFormat="1" applyFont="1" applyFill="1" applyBorder="1" applyAlignment="1">
      <alignment horizontal="center"/>
    </xf>
    <xf numFmtId="0" fontId="3" fillId="6" borderId="94" xfId="0" applyFont="1" applyFill="1" applyBorder="1" applyAlignment="1">
      <alignment horizontal="center" vertical="center"/>
    </xf>
    <xf numFmtId="0" fontId="9" fillId="9" borderId="95" xfId="0" applyFont="1" applyFill="1" applyBorder="1" applyAlignment="1">
      <alignment horizontal="center" vertical="center" wrapText="1"/>
    </xf>
    <xf numFmtId="0" fontId="3" fillId="6" borderId="96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" fillId="0" borderId="81" xfId="0" applyFont="1" applyBorder="1" applyAlignment="1">
      <alignment horizontal="center"/>
    </xf>
    <xf numFmtId="0" fontId="3" fillId="6" borderId="97" xfId="0" applyFont="1" applyFill="1" applyBorder="1" applyAlignment="1">
      <alignment horizontal="center" vertical="center"/>
    </xf>
    <xf numFmtId="0" fontId="3" fillId="6" borderId="98" xfId="0" applyFont="1" applyFill="1" applyBorder="1" applyAlignment="1">
      <alignment horizontal="center" vertical="center"/>
    </xf>
    <xf numFmtId="0" fontId="3" fillId="6" borderId="99" xfId="0" applyFont="1" applyFill="1" applyBorder="1" applyAlignment="1">
      <alignment horizontal="center" vertical="center"/>
    </xf>
    <xf numFmtId="0" fontId="3" fillId="6" borderId="100" xfId="0" applyFont="1" applyFill="1" applyBorder="1" applyAlignment="1">
      <alignment horizontal="center" vertical="center"/>
    </xf>
    <xf numFmtId="0" fontId="3" fillId="6" borderId="101" xfId="0" applyFont="1" applyFill="1" applyBorder="1" applyAlignment="1">
      <alignment horizontal="center" vertical="center"/>
    </xf>
    <xf numFmtId="0" fontId="3" fillId="6" borderId="102" xfId="0" applyFont="1" applyFill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9" fillId="5" borderId="103" xfId="0" applyFont="1" applyFill="1" applyBorder="1" applyAlignment="1">
      <alignment horizontal="center" vertical="center" wrapText="1"/>
    </xf>
    <xf numFmtId="173" fontId="7" fillId="2" borderId="65" xfId="0" applyNumberFormat="1" applyFont="1" applyFill="1" applyBorder="1" applyAlignment="1">
      <alignment/>
    </xf>
    <xf numFmtId="173" fontId="7" fillId="2" borderId="16" xfId="0" applyNumberFormat="1" applyFont="1" applyFill="1" applyBorder="1" applyAlignment="1">
      <alignment/>
    </xf>
    <xf numFmtId="2" fontId="2" fillId="0" borderId="65" xfId="19" applyNumberFormat="1" applyFont="1" applyFill="1" applyBorder="1" applyAlignment="1">
      <alignment horizontal="center"/>
    </xf>
    <xf numFmtId="0" fontId="20" fillId="6" borderId="8" xfId="0" applyFont="1" applyFill="1" applyBorder="1" applyAlignment="1">
      <alignment horizontal="center"/>
    </xf>
    <xf numFmtId="0" fontId="20" fillId="0" borderId="0" xfId="0" applyFont="1" applyAlignment="1">
      <alignment horizontal="left" indent="1"/>
    </xf>
    <xf numFmtId="0" fontId="20" fillId="8" borderId="0" xfId="0" applyFont="1" applyFill="1" applyAlignment="1">
      <alignment/>
    </xf>
    <xf numFmtId="0" fontId="20" fillId="0" borderId="0" xfId="0" applyFont="1" applyAlignment="1">
      <alignment horizontal="center"/>
    </xf>
    <xf numFmtId="0" fontId="37" fillId="0" borderId="0" xfId="0" applyFont="1" applyAlignment="1">
      <alignment horizontal="left" indent="3"/>
    </xf>
    <xf numFmtId="44" fontId="20" fillId="0" borderId="0" xfId="17" applyFont="1" applyAlignment="1">
      <alignment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right"/>
    </xf>
    <xf numFmtId="44" fontId="20" fillId="2" borderId="1" xfId="17" applyFont="1" applyFill="1" applyBorder="1" applyAlignment="1">
      <alignment/>
    </xf>
    <xf numFmtId="44" fontId="20" fillId="2" borderId="15" xfId="17" applyFont="1" applyFill="1" applyBorder="1" applyAlignment="1">
      <alignment/>
    </xf>
    <xf numFmtId="0" fontId="3" fillId="0" borderId="0" xfId="0" applyFont="1" applyAlignment="1">
      <alignment/>
    </xf>
    <xf numFmtId="44" fontId="20" fillId="0" borderId="18" xfId="17" applyFont="1" applyBorder="1" applyAlignment="1">
      <alignment/>
    </xf>
    <xf numFmtId="0" fontId="20" fillId="0" borderId="7" xfId="0" applyFont="1" applyBorder="1" applyAlignment="1">
      <alignment/>
    </xf>
    <xf numFmtId="44" fontId="20" fillId="0" borderId="0" xfId="17" applyFont="1" applyBorder="1" applyAlignment="1">
      <alignment/>
    </xf>
    <xf numFmtId="0" fontId="3" fillId="0" borderId="0" xfId="0" applyFont="1" applyAlignment="1">
      <alignment horizontal="center"/>
    </xf>
    <xf numFmtId="0" fontId="20" fillId="6" borderId="1" xfId="0" applyFont="1" applyFill="1" applyBorder="1" applyAlignment="1">
      <alignment horizontal="center"/>
    </xf>
    <xf numFmtId="44" fontId="20" fillId="0" borderId="1" xfId="17" applyFont="1" applyBorder="1" applyAlignment="1">
      <alignment/>
    </xf>
    <xf numFmtId="44" fontId="20" fillId="4" borderId="7" xfId="17" applyFont="1" applyFill="1" applyBorder="1" applyAlignment="1">
      <alignment horizontal="center"/>
    </xf>
    <xf numFmtId="9" fontId="20" fillId="4" borderId="7" xfId="19" applyFont="1" applyFill="1" applyBorder="1" applyAlignment="1">
      <alignment horizontal="center"/>
    </xf>
    <xf numFmtId="44" fontId="20" fillId="2" borderId="7" xfId="17" applyFont="1" applyFill="1" applyBorder="1" applyAlignment="1">
      <alignment horizontal="center"/>
    </xf>
    <xf numFmtId="0" fontId="0" fillId="0" borderId="104" xfId="0" applyBorder="1" applyAlignment="1">
      <alignment/>
    </xf>
    <xf numFmtId="0" fontId="20" fillId="6" borderId="87" xfId="0" applyFont="1" applyFill="1" applyBorder="1" applyAlignment="1">
      <alignment horizontal="center"/>
    </xf>
    <xf numFmtId="44" fontId="20" fillId="0" borderId="87" xfId="17" applyFont="1" applyBorder="1" applyAlignment="1">
      <alignment/>
    </xf>
    <xf numFmtId="0" fontId="20" fillId="0" borderId="77" xfId="0" applyFont="1" applyBorder="1" applyAlignment="1">
      <alignment/>
    </xf>
    <xf numFmtId="2" fontId="20" fillId="0" borderId="77" xfId="0" applyNumberFormat="1" applyFont="1" applyBorder="1" applyAlignment="1">
      <alignment/>
    </xf>
    <xf numFmtId="0" fontId="20" fillId="8" borderId="77" xfId="0" applyFont="1" applyFill="1" applyBorder="1" applyAlignment="1">
      <alignment/>
    </xf>
    <xf numFmtId="0" fontId="20" fillId="0" borderId="87" xfId="0" applyFont="1" applyBorder="1" applyAlignment="1">
      <alignment/>
    </xf>
    <xf numFmtId="0" fontId="20" fillId="6" borderId="6" xfId="0" applyFont="1" applyFill="1" applyBorder="1" applyAlignment="1">
      <alignment horizontal="center"/>
    </xf>
    <xf numFmtId="44" fontId="20" fillId="0" borderId="6" xfId="17" applyFont="1" applyBorder="1" applyAlignment="1">
      <alignment/>
    </xf>
    <xf numFmtId="0" fontId="20" fillId="0" borderId="6" xfId="0" applyFont="1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20" fillId="0" borderId="4" xfId="0" applyFont="1" applyBorder="1" applyAlignment="1">
      <alignment/>
    </xf>
    <xf numFmtId="0" fontId="20" fillId="8" borderId="4" xfId="0" applyFont="1" applyFill="1" applyBorder="1" applyAlignment="1">
      <alignment/>
    </xf>
    <xf numFmtId="0" fontId="20" fillId="8" borderId="3" xfId="0" applyFont="1" applyFill="1" applyBorder="1" applyAlignment="1">
      <alignment/>
    </xf>
    <xf numFmtId="44" fontId="20" fillId="0" borderId="8" xfId="17" applyFont="1" applyBorder="1" applyAlignment="1">
      <alignment/>
    </xf>
    <xf numFmtId="0" fontId="20" fillId="0" borderId="8" xfId="0" applyFont="1" applyBorder="1" applyAlignment="1">
      <alignment/>
    </xf>
    <xf numFmtId="0" fontId="20" fillId="6" borderId="7" xfId="0" applyFont="1" applyFill="1" applyBorder="1" applyAlignment="1">
      <alignment horizontal="center"/>
    </xf>
    <xf numFmtId="44" fontId="20" fillId="0" borderId="7" xfId="17" applyFont="1" applyBorder="1" applyAlignment="1">
      <alignment/>
    </xf>
    <xf numFmtId="44" fontId="20" fillId="4" borderId="87" xfId="17" applyFont="1" applyFill="1" applyBorder="1" applyAlignment="1">
      <alignment/>
    </xf>
    <xf numFmtId="44" fontId="20" fillId="0" borderId="77" xfId="17" applyFont="1" applyBorder="1" applyAlignment="1">
      <alignment/>
    </xf>
    <xf numFmtId="44" fontId="20" fillId="2" borderId="87" xfId="17" applyFont="1" applyFill="1" applyBorder="1" applyAlignment="1">
      <alignment/>
    </xf>
    <xf numFmtId="0" fontId="20" fillId="0" borderId="6" xfId="0" applyFont="1" applyFill="1" applyBorder="1" applyAlignment="1">
      <alignment/>
    </xf>
    <xf numFmtId="44" fontId="20" fillId="0" borderId="8" xfId="0" applyNumberFormat="1" applyFont="1" applyFill="1" applyBorder="1" applyAlignment="1">
      <alignment/>
    </xf>
    <xf numFmtId="44" fontId="20" fillId="0" borderId="0" xfId="0" applyNumberFormat="1" applyFont="1" applyAlignment="1">
      <alignment/>
    </xf>
    <xf numFmtId="0" fontId="20" fillId="0" borderId="1" xfId="0" applyFont="1" applyFill="1" applyBorder="1" applyAlignment="1">
      <alignment/>
    </xf>
    <xf numFmtId="0" fontId="20" fillId="0" borderId="77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73" fontId="20" fillId="0" borderId="77" xfId="0" applyNumberFormat="1" applyFont="1" applyBorder="1" applyAlignment="1">
      <alignment horizontal="center"/>
    </xf>
    <xf numFmtId="173" fontId="20" fillId="0" borderId="4" xfId="0" applyNumberFormat="1" applyFont="1" applyBorder="1" applyAlignment="1">
      <alignment horizontal="center"/>
    </xf>
    <xf numFmtId="173" fontId="20" fillId="0" borderId="3" xfId="0" applyNumberFormat="1" applyFont="1" applyBorder="1" applyAlignment="1">
      <alignment horizontal="center"/>
    </xf>
    <xf numFmtId="173" fontId="20" fillId="0" borderId="0" xfId="0" applyNumberFormat="1" applyFont="1" applyAlignment="1">
      <alignment horizontal="center"/>
    </xf>
    <xf numFmtId="1" fontId="0" fillId="2" borderId="25" xfId="0" applyNumberForma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0" fillId="2" borderId="27" xfId="0" applyNumberFormat="1" applyFill="1" applyBorder="1" applyAlignment="1">
      <alignment/>
    </xf>
    <xf numFmtId="0" fontId="12" fillId="4" borderId="0" xfId="0" applyFont="1" applyFill="1" applyAlignment="1">
      <alignment horizontal="left" indent="2"/>
    </xf>
    <xf numFmtId="0" fontId="2" fillId="0" borderId="5" xfId="0" applyFont="1" applyBorder="1" applyAlignment="1">
      <alignment/>
    </xf>
    <xf numFmtId="0" fontId="17" fillId="0" borderId="0" xfId="0" applyFont="1" applyAlignment="1">
      <alignment horizontal="left"/>
    </xf>
    <xf numFmtId="0" fontId="3" fillId="0" borderId="36" xfId="0" applyFont="1" applyBorder="1" applyAlignment="1">
      <alignment/>
    </xf>
    <xf numFmtId="0" fontId="9" fillId="0" borderId="18" xfId="0" applyFont="1" applyBorder="1" applyAlignment="1">
      <alignment horizontal="right"/>
    </xf>
    <xf numFmtId="0" fontId="9" fillId="0" borderId="39" xfId="0" applyFont="1" applyBorder="1" applyAlignment="1">
      <alignment horizontal="center"/>
    </xf>
    <xf numFmtId="0" fontId="7" fillId="6" borderId="68" xfId="0" applyFont="1" applyFill="1" applyBorder="1" applyAlignment="1">
      <alignment horizontal="center" wrapText="1"/>
    </xf>
    <xf numFmtId="0" fontId="12" fillId="0" borderId="77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left" indent="3"/>
    </xf>
    <xf numFmtId="0" fontId="12" fillId="4" borderId="0" xfId="0" applyFont="1" applyFill="1" applyBorder="1" applyAlignment="1" applyProtection="1">
      <alignment horizontal="left" indent="3"/>
      <protection locked="0"/>
    </xf>
    <xf numFmtId="0" fontId="19" fillId="0" borderId="0" xfId="0" applyFont="1" applyAlignment="1">
      <alignment horizontal="left" indent="2"/>
    </xf>
    <xf numFmtId="0" fontId="2" fillId="0" borderId="0" xfId="0" applyFont="1" applyAlignment="1">
      <alignment horizontal="left"/>
    </xf>
    <xf numFmtId="2" fontId="2" fillId="5" borderId="107" xfId="0" applyNumberFormat="1" applyFont="1" applyFill="1" applyBorder="1" applyAlignment="1">
      <alignment horizontal="center"/>
    </xf>
    <xf numFmtId="2" fontId="2" fillId="5" borderId="5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0" xfId="0" applyFont="1" applyBorder="1" applyAlignment="1">
      <alignment horizontal="left" indent="7"/>
    </xf>
    <xf numFmtId="0" fontId="9" fillId="0" borderId="18" xfId="0" applyFont="1" applyBorder="1" applyAlignment="1">
      <alignment/>
    </xf>
    <xf numFmtId="0" fontId="22" fillId="0" borderId="4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9" fillId="0" borderId="0" xfId="0" applyFont="1" applyAlignment="1">
      <alignment horizontal="right"/>
    </xf>
    <xf numFmtId="173" fontId="9" fillId="2" borderId="50" xfId="0" applyNumberFormat="1" applyFont="1" applyFill="1" applyBorder="1" applyAlignment="1">
      <alignment vertical="center"/>
    </xf>
    <xf numFmtId="173" fontId="23" fillId="2" borderId="50" xfId="0" applyNumberFormat="1" applyFont="1" applyFill="1" applyBorder="1" applyAlignment="1">
      <alignment vertical="center"/>
    </xf>
    <xf numFmtId="0" fontId="3" fillId="6" borderId="45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2" borderId="46" xfId="0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37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9" fillId="4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1" fillId="2" borderId="109" xfId="0" applyFont="1" applyFill="1" applyBorder="1" applyAlignment="1">
      <alignment horizontal="center" vertical="center"/>
    </xf>
    <xf numFmtId="173" fontId="21" fillId="2" borderId="110" xfId="0" applyNumberFormat="1" applyFont="1" applyFill="1" applyBorder="1" applyAlignment="1">
      <alignment horizontal="center" vertical="center"/>
    </xf>
    <xf numFmtId="0" fontId="21" fillId="2" borderId="111" xfId="0" applyFont="1" applyFill="1" applyBorder="1" applyAlignment="1">
      <alignment horizontal="center" vertical="center"/>
    </xf>
    <xf numFmtId="0" fontId="9" fillId="4" borderId="112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3" xfId="0" applyFont="1" applyFill="1" applyBorder="1" applyAlignment="1">
      <alignment horizontal="center" vertical="center" wrapText="1"/>
    </xf>
    <xf numFmtId="0" fontId="9" fillId="4" borderId="11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indent="1"/>
    </xf>
    <xf numFmtId="0" fontId="1" fillId="0" borderId="18" xfId="0" applyFont="1" applyBorder="1" applyAlignment="1">
      <alignment horizontal="left" indent="2"/>
    </xf>
    <xf numFmtId="0" fontId="0" fillId="6" borderId="80" xfId="0" applyFill="1" applyBorder="1" applyAlignment="1">
      <alignment horizontal="center" vertical="center"/>
    </xf>
    <xf numFmtId="0" fontId="2" fillId="0" borderId="93" xfId="0" applyFont="1" applyBorder="1" applyAlignment="1">
      <alignment horizontal="left" inden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4" borderId="57" xfId="0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9" fontId="0" fillId="0" borderId="37" xfId="19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23" fillId="6" borderId="46" xfId="0" applyFont="1" applyFill="1" applyBorder="1" applyAlignment="1">
      <alignment horizontal="center" vertical="center"/>
    </xf>
    <xf numFmtId="0" fontId="23" fillId="6" borderId="47" xfId="0" applyFont="1" applyFill="1" applyBorder="1" applyAlignment="1">
      <alignment horizontal="center" vertical="center"/>
    </xf>
    <xf numFmtId="0" fontId="9" fillId="9" borderId="115" xfId="0" applyFont="1" applyFill="1" applyBorder="1" applyAlignment="1">
      <alignment horizontal="center" vertical="center" wrapText="1"/>
    </xf>
    <xf numFmtId="0" fontId="9" fillId="9" borderId="116" xfId="0" applyFont="1" applyFill="1" applyBorder="1" applyAlignment="1">
      <alignment horizontal="center" vertical="center" wrapText="1"/>
    </xf>
    <xf numFmtId="0" fontId="9" fillId="9" borderId="117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9" borderId="118" xfId="0" applyFont="1" applyFill="1" applyBorder="1" applyAlignment="1">
      <alignment horizontal="center" vertical="center" wrapText="1"/>
    </xf>
    <xf numFmtId="0" fontId="3" fillId="6" borderId="96" xfId="0" applyFont="1" applyFill="1" applyBorder="1" applyAlignment="1">
      <alignment horizontal="center" vertical="center"/>
    </xf>
    <xf numFmtId="0" fontId="9" fillId="9" borderId="119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120" xfId="0" applyFont="1" applyFill="1" applyBorder="1" applyAlignment="1">
      <alignment horizontal="center" vertical="center" wrapText="1"/>
    </xf>
    <xf numFmtId="0" fontId="9" fillId="5" borderId="103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9" borderId="121" xfId="0" applyFont="1" applyFill="1" applyBorder="1" applyAlignment="1">
      <alignment horizontal="center" vertical="center" wrapText="1"/>
    </xf>
    <xf numFmtId="0" fontId="9" fillId="5" borderId="119" xfId="0" applyFont="1" applyFill="1" applyBorder="1" applyAlignment="1">
      <alignment horizontal="center" vertical="center" wrapText="1"/>
    </xf>
    <xf numFmtId="0" fontId="9" fillId="5" borderId="115" xfId="0" applyFont="1" applyFill="1" applyBorder="1" applyAlignment="1">
      <alignment horizontal="center" vertical="center" wrapText="1"/>
    </xf>
    <xf numFmtId="0" fontId="9" fillId="5" borderId="117" xfId="0" applyFont="1" applyFill="1" applyBorder="1" applyAlignment="1">
      <alignment horizontal="center" vertical="center" wrapText="1"/>
    </xf>
    <xf numFmtId="0" fontId="9" fillId="5" borderId="122" xfId="0" applyFont="1" applyFill="1" applyBorder="1" applyAlignment="1">
      <alignment horizontal="center" vertical="center" wrapText="1"/>
    </xf>
    <xf numFmtId="0" fontId="9" fillId="5" borderId="123" xfId="0" applyFont="1" applyFill="1" applyBorder="1" applyAlignment="1">
      <alignment horizontal="center" vertical="center" wrapText="1"/>
    </xf>
    <xf numFmtId="0" fontId="3" fillId="6" borderId="94" xfId="0" applyFont="1" applyFill="1" applyBorder="1" applyAlignment="1">
      <alignment horizontal="center" vertical="center"/>
    </xf>
    <xf numFmtId="0" fontId="35" fillId="0" borderId="124" xfId="0" applyFont="1" applyBorder="1" applyAlignment="1">
      <alignment horizontal="center" vertical="center"/>
    </xf>
    <xf numFmtId="0" fontId="9" fillId="9" borderId="9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122" xfId="0" applyFont="1" applyFill="1" applyBorder="1" applyAlignment="1">
      <alignment horizontal="center" vertical="center" wrapText="1"/>
    </xf>
    <xf numFmtId="0" fontId="9" fillId="9" borderId="123" xfId="0" applyFont="1" applyFill="1" applyBorder="1" applyAlignment="1">
      <alignment horizontal="center" vertical="center" wrapText="1"/>
    </xf>
    <xf numFmtId="0" fontId="21" fillId="2" borderId="109" xfId="0" applyFont="1" applyFill="1" applyBorder="1" applyAlignment="1">
      <alignment horizontal="center" vertical="center"/>
    </xf>
    <xf numFmtId="173" fontId="21" fillId="2" borderId="110" xfId="0" applyNumberFormat="1" applyFont="1" applyFill="1" applyBorder="1" applyAlignment="1">
      <alignment horizontal="center" vertical="center"/>
    </xf>
    <xf numFmtId="173" fontId="21" fillId="2" borderId="125" xfId="0" applyNumberFormat="1" applyFont="1" applyFill="1" applyBorder="1" applyAlignment="1">
      <alignment horizontal="center" vertical="center"/>
    </xf>
    <xf numFmtId="0" fontId="21" fillId="2" borderId="110" xfId="0" applyFont="1" applyFill="1" applyBorder="1" applyAlignment="1">
      <alignment horizontal="center" vertical="center"/>
    </xf>
    <xf numFmtId="0" fontId="21" fillId="2" borderId="126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44" fontId="20" fillId="0" borderId="26" xfId="17" applyFont="1" applyBorder="1" applyAlignment="1">
      <alignment horizontal="center"/>
    </xf>
    <xf numFmtId="44" fontId="20" fillId="0" borderId="8" xfId="17" applyFont="1" applyBorder="1" applyAlignment="1">
      <alignment horizontal="center"/>
    </xf>
    <xf numFmtId="0" fontId="20" fillId="6" borderId="26" xfId="0" applyFont="1" applyFill="1" applyBorder="1" applyAlignment="1">
      <alignment horizontal="center"/>
    </xf>
    <xf numFmtId="0" fontId="20" fillId="6" borderId="8" xfId="0" applyFont="1" applyFill="1" applyBorder="1" applyAlignment="1">
      <alignment horizontal="center"/>
    </xf>
    <xf numFmtId="0" fontId="7" fillId="6" borderId="89" xfId="0" applyFont="1" applyFill="1" applyBorder="1" applyAlignment="1">
      <alignment horizontal="right"/>
    </xf>
    <xf numFmtId="0" fontId="0" fillId="0" borderId="127" xfId="0" applyBorder="1" applyAlignment="1">
      <alignment horizontal="right"/>
    </xf>
    <xf numFmtId="0" fontId="2" fillId="3" borderId="33" xfId="0" applyFont="1" applyFill="1" applyBorder="1" applyAlignment="1">
      <alignment horizontal="left" indent="1"/>
    </xf>
    <xf numFmtId="0" fontId="2" fillId="3" borderId="35" xfId="0" applyFont="1" applyFill="1" applyBorder="1" applyAlignment="1">
      <alignment horizontal="left" indent="1"/>
    </xf>
    <xf numFmtId="0" fontId="8" fillId="3" borderId="37" xfId="0" applyFont="1" applyFill="1" applyBorder="1" applyAlignment="1">
      <alignment horizontal="left" indent="4"/>
    </xf>
    <xf numFmtId="0" fontId="2" fillId="3" borderId="2" xfId="0" applyFont="1" applyFill="1" applyBorder="1" applyAlignment="1">
      <alignment horizontal="left" indent="4"/>
    </xf>
    <xf numFmtId="0" fontId="2" fillId="6" borderId="89" xfId="0" applyFont="1" applyFill="1" applyBorder="1" applyAlignment="1">
      <alignment horizontal="center"/>
    </xf>
    <xf numFmtId="0" fontId="2" fillId="6" borderId="90" xfId="0" applyFont="1" applyFill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2" fontId="7" fillId="2" borderId="19" xfId="0" applyNumberFormat="1" applyFont="1" applyFill="1" applyBorder="1" applyAlignment="1">
      <alignment horizontal="center"/>
    </xf>
    <xf numFmtId="2" fontId="7" fillId="2" borderId="37" xfId="0" applyNumberFormat="1" applyFont="1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/>
    </xf>
    <xf numFmtId="1" fontId="12" fillId="2" borderId="7" xfId="0" applyNumberFormat="1" applyFont="1" applyFill="1" applyBorder="1" applyAlignment="1">
      <alignment horizontal="center"/>
    </xf>
    <xf numFmtId="1" fontId="12" fillId="2" borderId="29" xfId="0" applyNumberFormat="1" applyFont="1" applyFill="1" applyBorder="1" applyAlignment="1">
      <alignment horizontal="center"/>
    </xf>
    <xf numFmtId="1" fontId="12" fillId="2" borderId="39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2" borderId="7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127" xfId="0" applyFont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0" borderId="60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2" fontId="7" fillId="7" borderId="7" xfId="0" applyNumberFormat="1" applyFont="1" applyFill="1" applyBorder="1" applyAlignment="1">
      <alignment horizontal="center"/>
    </xf>
    <xf numFmtId="0" fontId="0" fillId="6" borderId="128" xfId="0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/>
    </xf>
    <xf numFmtId="0" fontId="0" fillId="6" borderId="129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6" borderId="130" xfId="0" applyFont="1" applyFill="1" applyBorder="1" applyAlignment="1">
      <alignment horizontal="center" vertical="center"/>
    </xf>
    <xf numFmtId="0" fontId="2" fillId="6" borderId="131" xfId="0" applyFont="1" applyFill="1" applyBorder="1" applyAlignment="1">
      <alignment horizontal="center" vertical="center"/>
    </xf>
    <xf numFmtId="9" fontId="0" fillId="0" borderId="132" xfId="19" applyBorder="1" applyAlignment="1">
      <alignment horizontal="center" vertical="center"/>
    </xf>
    <xf numFmtId="9" fontId="0" fillId="0" borderId="133" xfId="19" applyBorder="1" applyAlignment="1">
      <alignment horizontal="center" vertical="center"/>
    </xf>
    <xf numFmtId="9" fontId="7" fillId="6" borderId="11" xfId="19" applyFont="1" applyFill="1" applyBorder="1" applyAlignment="1">
      <alignment horizontal="center"/>
    </xf>
    <xf numFmtId="9" fontId="7" fillId="6" borderId="13" xfId="19" applyFont="1" applyFill="1" applyBorder="1" applyAlignment="1">
      <alignment horizontal="center"/>
    </xf>
    <xf numFmtId="0" fontId="7" fillId="6" borderId="46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173" fontId="7" fillId="7" borderId="7" xfId="0" applyNumberFormat="1" applyFont="1" applyFill="1" applyBorder="1" applyAlignment="1">
      <alignment horizontal="center"/>
    </xf>
    <xf numFmtId="173" fontId="7" fillId="7" borderId="134" xfId="0" applyNumberFormat="1" applyFont="1" applyFill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173" fontId="1" fillId="2" borderId="66" xfId="0" applyNumberFormat="1" applyFont="1" applyFill="1" applyBorder="1" applyAlignment="1">
      <alignment horizontal="center"/>
    </xf>
    <xf numFmtId="173" fontId="1" fillId="2" borderId="5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2" fillId="2" borderId="134" xfId="0" applyNumberFormat="1" applyFont="1" applyFill="1" applyBorder="1" applyAlignment="1">
      <alignment horizontal="center"/>
    </xf>
    <xf numFmtId="0" fontId="1" fillId="4" borderId="70" xfId="0" applyFont="1" applyFill="1" applyBorder="1" applyAlignment="1">
      <alignment horizontal="center"/>
    </xf>
    <xf numFmtId="0" fontId="1" fillId="4" borderId="74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2" fillId="4" borderId="70" xfId="0" applyFont="1" applyFill="1" applyBorder="1" applyAlignment="1">
      <alignment horizontal="center"/>
    </xf>
    <xf numFmtId="0" fontId="2" fillId="4" borderId="74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12" fillId="4" borderId="107" xfId="0" applyFont="1" applyFill="1" applyBorder="1" applyAlignment="1">
      <alignment horizontal="center"/>
    </xf>
    <xf numFmtId="0" fontId="12" fillId="4" borderId="13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4" xfId="0" applyBorder="1" applyAlignment="1">
      <alignment horizontal="center"/>
    </xf>
    <xf numFmtId="2" fontId="12" fillId="7" borderId="1" xfId="0" applyNumberFormat="1" applyFont="1" applyFill="1" applyBorder="1" applyAlignment="1">
      <alignment horizontal="center"/>
    </xf>
    <xf numFmtId="2" fontId="12" fillId="7" borderId="7" xfId="0" applyNumberFormat="1" applyFont="1" applyFill="1" applyBorder="1" applyAlignment="1">
      <alignment horizontal="center"/>
    </xf>
    <xf numFmtId="0" fontId="2" fillId="6" borderId="136" xfId="0" applyFont="1" applyFill="1" applyBorder="1" applyAlignment="1">
      <alignment horizontal="center" vertical="center"/>
    </xf>
    <xf numFmtId="0" fontId="2" fillId="6" borderId="13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5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53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2" fillId="6" borderId="89" xfId="0" applyFont="1" applyFill="1" applyBorder="1" applyAlignment="1">
      <alignment horizontal="center" vertical="center"/>
    </xf>
    <xf numFmtId="0" fontId="2" fillId="6" borderId="90" xfId="0" applyFont="1" applyFill="1" applyBorder="1" applyAlignment="1">
      <alignment horizontal="center" vertical="center"/>
    </xf>
    <xf numFmtId="0" fontId="2" fillId="6" borderId="127" xfId="0" applyFont="1" applyFill="1" applyBorder="1" applyAlignment="1">
      <alignment horizontal="center" vertical="center"/>
    </xf>
    <xf numFmtId="0" fontId="12" fillId="4" borderId="0" xfId="0" applyFont="1" applyFill="1" applyAlignment="1" applyProtection="1">
      <alignment horizontal="left" indent="2"/>
      <protection locked="0"/>
    </xf>
    <xf numFmtId="0" fontId="12" fillId="4" borderId="36" xfId="0" applyFont="1" applyFill="1" applyBorder="1" applyAlignment="1" applyProtection="1">
      <alignment horizontal="left" indent="2"/>
      <protection locked="0"/>
    </xf>
    <xf numFmtId="0" fontId="12" fillId="0" borderId="0" xfId="0" applyFont="1" applyAlignment="1">
      <alignment horizontal="left" indent="2"/>
    </xf>
    <xf numFmtId="0" fontId="12" fillId="0" borderId="36" xfId="0" applyFont="1" applyBorder="1" applyAlignment="1">
      <alignment horizontal="left" indent="2"/>
    </xf>
    <xf numFmtId="0" fontId="2" fillId="0" borderId="13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1" fillId="6" borderId="107" xfId="0" applyFont="1" applyFill="1" applyBorder="1" applyAlignment="1">
      <alignment horizontal="center" vertical="center"/>
    </xf>
    <xf numFmtId="0" fontId="1" fillId="6" borderId="49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6" borderId="33" xfId="0" applyFont="1" applyFill="1" applyBorder="1" applyAlignment="1">
      <alignment horizontal="left" indent="2"/>
    </xf>
    <xf numFmtId="0" fontId="3" fillId="6" borderId="34" xfId="0" applyFont="1" applyFill="1" applyBorder="1" applyAlignment="1">
      <alignment horizontal="left" indent="2"/>
    </xf>
    <xf numFmtId="0" fontId="3" fillId="6" borderId="35" xfId="0" applyFont="1" applyFill="1" applyBorder="1" applyAlignment="1">
      <alignment horizontal="left" indent="2"/>
    </xf>
    <xf numFmtId="0" fontId="2" fillId="6" borderId="91" xfId="0" applyFont="1" applyFill="1" applyBorder="1" applyAlignment="1">
      <alignment horizontal="center"/>
    </xf>
    <xf numFmtId="0" fontId="2" fillId="6" borderId="56" xfId="0" applyFont="1" applyFill="1" applyBorder="1" applyAlignment="1">
      <alignment horizontal="center"/>
    </xf>
    <xf numFmtId="0" fontId="2" fillId="6" borderId="138" xfId="0" applyFont="1" applyFill="1" applyBorder="1" applyAlignment="1">
      <alignment horizontal="center"/>
    </xf>
    <xf numFmtId="0" fontId="3" fillId="6" borderId="139" xfId="0" applyFont="1" applyFill="1" applyBorder="1" applyAlignment="1">
      <alignment horizontal="left" indent="2"/>
    </xf>
    <xf numFmtId="0" fontId="3" fillId="6" borderId="81" xfId="0" applyFont="1" applyFill="1" applyBorder="1" applyAlignment="1">
      <alignment horizontal="left" indent="2"/>
    </xf>
    <xf numFmtId="0" fontId="3" fillId="6" borderId="140" xfId="0" applyFont="1" applyFill="1" applyBorder="1" applyAlignment="1">
      <alignment horizontal="left" indent="2"/>
    </xf>
    <xf numFmtId="0" fontId="2" fillId="0" borderId="129" xfId="0" applyFont="1" applyBorder="1" applyAlignment="1">
      <alignment horizontal="right"/>
    </xf>
    <xf numFmtId="0" fontId="2" fillId="0" borderId="90" xfId="0" applyFont="1" applyBorder="1" applyAlignment="1">
      <alignment horizontal="right"/>
    </xf>
    <xf numFmtId="0" fontId="2" fillId="0" borderId="91" xfId="0" applyFont="1" applyBorder="1" applyAlignment="1">
      <alignment horizontal="right"/>
    </xf>
    <xf numFmtId="0" fontId="7" fillId="6" borderId="71" xfId="0" applyFont="1" applyFill="1" applyBorder="1" applyAlignment="1">
      <alignment horizontal="center" vertical="center"/>
    </xf>
    <xf numFmtId="0" fontId="7" fillId="6" borderId="141" xfId="0" applyFont="1" applyFill="1" applyBorder="1" applyAlignment="1">
      <alignment horizontal="center" vertical="center"/>
    </xf>
    <xf numFmtId="0" fontId="7" fillId="6" borderId="142" xfId="0" applyFont="1" applyFill="1" applyBorder="1" applyAlignment="1">
      <alignment horizontal="center" vertical="center"/>
    </xf>
    <xf numFmtId="0" fontId="1" fillId="0" borderId="143" xfId="0" applyFont="1" applyBorder="1" applyAlignment="1">
      <alignment horizontal="center"/>
    </xf>
    <xf numFmtId="0" fontId="1" fillId="0" borderId="144" xfId="0" applyFont="1" applyBorder="1" applyAlignment="1">
      <alignment horizontal="center"/>
    </xf>
    <xf numFmtId="0" fontId="1" fillId="0" borderId="145" xfId="0" applyFont="1" applyBorder="1" applyAlignment="1">
      <alignment horizontal="center"/>
    </xf>
    <xf numFmtId="173" fontId="7" fillId="2" borderId="146" xfId="0" applyNumberFormat="1" applyFont="1" applyFill="1" applyBorder="1" applyAlignment="1">
      <alignment horizontal="center"/>
    </xf>
    <xf numFmtId="173" fontId="7" fillId="2" borderId="9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1" fillId="6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indent="2"/>
    </xf>
    <xf numFmtId="0" fontId="12" fillId="0" borderId="36" xfId="0" applyFont="1" applyFill="1" applyBorder="1" applyAlignment="1">
      <alignment horizontal="left" indent="2"/>
    </xf>
    <xf numFmtId="0" fontId="7" fillId="6" borderId="4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173" fontId="9" fillId="2" borderId="7" xfId="0" applyNumberFormat="1" applyFont="1" applyFill="1" applyBorder="1" applyAlignment="1">
      <alignment horizontal="center"/>
    </xf>
    <xf numFmtId="0" fontId="0" fillId="0" borderId="53" xfId="0" applyBorder="1" applyAlignment="1">
      <alignment/>
    </xf>
    <xf numFmtId="2" fontId="9" fillId="2" borderId="7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/>
    </xf>
    <xf numFmtId="0" fontId="22" fillId="4" borderId="53" xfId="0" applyFont="1" applyFill="1" applyBorder="1" applyAlignment="1">
      <alignment horizontal="center"/>
    </xf>
    <xf numFmtId="0" fontId="22" fillId="4" borderId="6" xfId="0" applyFont="1" applyFill="1" applyBorder="1" applyAlignment="1">
      <alignment horizont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6" xfId="0" applyBorder="1" applyAlignment="1">
      <alignment horizontal="right"/>
    </xf>
    <xf numFmtId="0" fontId="3" fillId="6" borderId="7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/>
    </xf>
    <xf numFmtId="173" fontId="9" fillId="2" borderId="89" xfId="0" applyNumberFormat="1" applyFont="1" applyFill="1" applyBorder="1" applyAlignment="1">
      <alignment horizontal="center"/>
    </xf>
    <xf numFmtId="173" fontId="9" fillId="2" borderId="91" xfId="0" applyNumberFormat="1" applyFont="1" applyFill="1" applyBorder="1" applyAlignment="1">
      <alignment horizontal="center"/>
    </xf>
    <xf numFmtId="2" fontId="9" fillId="2" borderId="147" xfId="0" applyNumberFormat="1" applyFont="1" applyFill="1" applyBorder="1" applyAlignment="1">
      <alignment horizontal="center"/>
    </xf>
    <xf numFmtId="2" fontId="9" fillId="2" borderId="62" xfId="0" applyNumberFormat="1" applyFont="1" applyFill="1" applyBorder="1" applyAlignment="1">
      <alignment horizontal="center"/>
    </xf>
    <xf numFmtId="0" fontId="22" fillId="0" borderId="7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9" xfId="0" applyFont="1" applyBorder="1" applyAlignment="1">
      <alignment horizontal="center"/>
    </xf>
    <xf numFmtId="0" fontId="9" fillId="0" borderId="127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49</xdr:row>
      <xdr:rowOff>114300</xdr:rowOff>
    </xdr:from>
    <xdr:to>
      <xdr:col>12</xdr:col>
      <xdr:colOff>914400</xdr:colOff>
      <xdr:row>54</xdr:row>
      <xdr:rowOff>66675</xdr:rowOff>
    </xdr:to>
    <xdr:sp>
      <xdr:nvSpPr>
        <xdr:cNvPr id="1" name="AutoShape 7"/>
        <xdr:cNvSpPr>
          <a:spLocks/>
        </xdr:cNvSpPr>
      </xdr:nvSpPr>
      <xdr:spPr>
        <a:xfrm rot="16188482" flipV="1">
          <a:off x="2800350" y="12011025"/>
          <a:ext cx="12734925" cy="828675"/>
        </a:xfrm>
        <a:prstGeom prst="leftBrace">
          <a:avLst>
            <a:gd name="adj1" fmla="val -47726"/>
            <a:gd name="adj2" fmla="val 1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209550</xdr:rowOff>
    </xdr:from>
    <xdr:to>
      <xdr:col>9</xdr:col>
      <xdr:colOff>0</xdr:colOff>
      <xdr:row>49</xdr:row>
      <xdr:rowOff>0</xdr:rowOff>
    </xdr:to>
    <xdr:sp>
      <xdr:nvSpPr>
        <xdr:cNvPr id="2" name="Line 9"/>
        <xdr:cNvSpPr>
          <a:spLocks/>
        </xdr:cNvSpPr>
      </xdr:nvSpPr>
      <xdr:spPr>
        <a:xfrm>
          <a:off x="9515475" y="11715750"/>
          <a:ext cx="1362075" cy="180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571500</xdr:colOff>
      <xdr:row>49</xdr:row>
      <xdr:rowOff>38100</xdr:rowOff>
    </xdr:to>
    <xdr:sp>
      <xdr:nvSpPr>
        <xdr:cNvPr id="3" name="Line 10"/>
        <xdr:cNvSpPr>
          <a:spLocks/>
        </xdr:cNvSpPr>
      </xdr:nvSpPr>
      <xdr:spPr>
        <a:xfrm flipH="1">
          <a:off x="12239625" y="11734800"/>
          <a:ext cx="571500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273</xdr:row>
      <xdr:rowOff>85725</xdr:rowOff>
    </xdr:from>
    <xdr:to>
      <xdr:col>7</xdr:col>
      <xdr:colOff>533400</xdr:colOff>
      <xdr:row>276</xdr:row>
      <xdr:rowOff>114300</xdr:rowOff>
    </xdr:to>
    <xdr:sp>
      <xdr:nvSpPr>
        <xdr:cNvPr id="1" name="Line 651"/>
        <xdr:cNvSpPr>
          <a:spLocks/>
        </xdr:cNvSpPr>
      </xdr:nvSpPr>
      <xdr:spPr>
        <a:xfrm>
          <a:off x="8543925" y="515112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495300</xdr:colOff>
      <xdr:row>326</xdr:row>
      <xdr:rowOff>0</xdr:rowOff>
    </xdr:from>
    <xdr:to>
      <xdr:col>20</xdr:col>
      <xdr:colOff>495300</xdr:colOff>
      <xdr:row>326</xdr:row>
      <xdr:rowOff>0</xdr:rowOff>
    </xdr:to>
    <xdr:sp>
      <xdr:nvSpPr>
        <xdr:cNvPr id="2" name="Line 652"/>
        <xdr:cNvSpPr>
          <a:spLocks/>
        </xdr:cNvSpPr>
      </xdr:nvSpPr>
      <xdr:spPr>
        <a:xfrm>
          <a:off x="20383500" y="6317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495300</xdr:colOff>
      <xdr:row>326</xdr:row>
      <xdr:rowOff>0</xdr:rowOff>
    </xdr:from>
    <xdr:to>
      <xdr:col>20</xdr:col>
      <xdr:colOff>495300</xdr:colOff>
      <xdr:row>326</xdr:row>
      <xdr:rowOff>0</xdr:rowOff>
    </xdr:to>
    <xdr:sp>
      <xdr:nvSpPr>
        <xdr:cNvPr id="3" name="Line 653"/>
        <xdr:cNvSpPr>
          <a:spLocks/>
        </xdr:cNvSpPr>
      </xdr:nvSpPr>
      <xdr:spPr>
        <a:xfrm>
          <a:off x="20383500" y="6317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273</xdr:row>
      <xdr:rowOff>57150</xdr:rowOff>
    </xdr:from>
    <xdr:to>
      <xdr:col>10</xdr:col>
      <xdr:colOff>523875</xdr:colOff>
      <xdr:row>276</xdr:row>
      <xdr:rowOff>76200</xdr:rowOff>
    </xdr:to>
    <xdr:sp>
      <xdr:nvSpPr>
        <xdr:cNvPr id="4" name="Line 654"/>
        <xdr:cNvSpPr>
          <a:spLocks/>
        </xdr:cNvSpPr>
      </xdr:nvSpPr>
      <xdr:spPr>
        <a:xfrm flipH="1">
          <a:off x="11706225" y="514826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288</xdr:row>
      <xdr:rowOff>47625</xdr:rowOff>
    </xdr:from>
    <xdr:to>
      <xdr:col>12</xdr:col>
      <xdr:colOff>485775</xdr:colOff>
      <xdr:row>288</xdr:row>
      <xdr:rowOff>228600</xdr:rowOff>
    </xdr:to>
    <xdr:sp>
      <xdr:nvSpPr>
        <xdr:cNvPr id="5" name="Line 663"/>
        <xdr:cNvSpPr>
          <a:spLocks/>
        </xdr:cNvSpPr>
      </xdr:nvSpPr>
      <xdr:spPr>
        <a:xfrm>
          <a:off x="13916025" y="54263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273</xdr:row>
      <xdr:rowOff>47625</xdr:rowOff>
    </xdr:from>
    <xdr:to>
      <xdr:col>11</xdr:col>
      <xdr:colOff>447675</xdr:colOff>
      <xdr:row>276</xdr:row>
      <xdr:rowOff>66675</xdr:rowOff>
    </xdr:to>
    <xdr:sp>
      <xdr:nvSpPr>
        <xdr:cNvPr id="6" name="Line 728"/>
        <xdr:cNvSpPr>
          <a:spLocks/>
        </xdr:cNvSpPr>
      </xdr:nvSpPr>
      <xdr:spPr>
        <a:xfrm flipH="1">
          <a:off x="12820650" y="514731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64</xdr:row>
      <xdr:rowOff>161925</xdr:rowOff>
    </xdr:from>
    <xdr:to>
      <xdr:col>5</xdr:col>
      <xdr:colOff>476250</xdr:colOff>
      <xdr:row>80</xdr:row>
      <xdr:rowOff>66675</xdr:rowOff>
    </xdr:to>
    <xdr:grpSp>
      <xdr:nvGrpSpPr>
        <xdr:cNvPr id="7" name="Group 291"/>
        <xdr:cNvGrpSpPr>
          <a:grpSpLocks/>
        </xdr:cNvGrpSpPr>
      </xdr:nvGrpSpPr>
      <xdr:grpSpPr>
        <a:xfrm>
          <a:off x="419100" y="13220700"/>
          <a:ext cx="5876925" cy="2743200"/>
          <a:chOff x="44" y="1384"/>
          <a:chExt cx="610" cy="288"/>
        </a:xfrm>
        <a:solidFill>
          <a:srgbClr val="FFFFFF"/>
        </a:solidFill>
      </xdr:grpSpPr>
      <xdr:sp>
        <xdr:nvSpPr>
          <xdr:cNvPr id="8" name="Rectangle 272"/>
          <xdr:cNvSpPr>
            <a:spLocks/>
          </xdr:cNvSpPr>
        </xdr:nvSpPr>
        <xdr:spPr>
          <a:xfrm>
            <a:off x="63" y="1425"/>
            <a:ext cx="412" cy="1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3rd drilling level or UPPER LEVEL</a:t>
            </a:r>
          </a:p>
        </xdr:txBody>
      </xdr:sp>
      <xdr:sp>
        <xdr:nvSpPr>
          <xdr:cNvPr id="9" name="Rectangle 273"/>
          <xdr:cNvSpPr>
            <a:spLocks/>
          </xdr:cNvSpPr>
        </xdr:nvSpPr>
        <xdr:spPr>
          <a:xfrm>
            <a:off x="63" y="1501"/>
            <a:ext cx="412" cy="20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2nd drilling sub-level</a:t>
            </a:r>
          </a:p>
        </xdr:txBody>
      </xdr:sp>
      <xdr:sp>
        <xdr:nvSpPr>
          <xdr:cNvPr id="10" name="Rectangle 274"/>
          <xdr:cNvSpPr>
            <a:spLocks/>
          </xdr:cNvSpPr>
        </xdr:nvSpPr>
        <xdr:spPr>
          <a:xfrm>
            <a:off x="67" y="1578"/>
            <a:ext cx="412" cy="21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1st drilling sub-level</a:t>
            </a:r>
          </a:p>
        </xdr:txBody>
      </xdr:sp>
      <xdr:sp>
        <xdr:nvSpPr>
          <xdr:cNvPr id="11" name="Rectangle 275"/>
          <xdr:cNvSpPr>
            <a:spLocks/>
          </xdr:cNvSpPr>
        </xdr:nvSpPr>
        <xdr:spPr>
          <a:xfrm>
            <a:off x="452" y="1440"/>
            <a:ext cx="15" cy="60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276"/>
          <xdr:cNvSpPr>
            <a:spLocks/>
          </xdr:cNvSpPr>
        </xdr:nvSpPr>
        <xdr:spPr>
          <a:xfrm>
            <a:off x="450" y="1521"/>
            <a:ext cx="15" cy="56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277"/>
          <xdr:cNvSpPr>
            <a:spLocks/>
          </xdr:cNvSpPr>
        </xdr:nvSpPr>
        <xdr:spPr>
          <a:xfrm>
            <a:off x="450" y="1599"/>
            <a:ext cx="15" cy="69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278"/>
          <xdr:cNvSpPr txBox="1">
            <a:spLocks noChangeArrowheads="1"/>
          </xdr:cNvSpPr>
        </xdr:nvSpPr>
        <xdr:spPr>
          <a:xfrm>
            <a:off x="549" y="1528"/>
            <a:ext cx="105" cy="42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Drop raises</a:t>
            </a:r>
          </a:p>
        </xdr:txBody>
      </xdr:sp>
      <xdr:sp>
        <xdr:nvSpPr>
          <xdr:cNvPr id="15" name="AutoShape 279"/>
          <xdr:cNvSpPr>
            <a:spLocks/>
          </xdr:cNvSpPr>
        </xdr:nvSpPr>
        <xdr:spPr>
          <a:xfrm rot="5400000">
            <a:off x="501" y="1534"/>
            <a:ext cx="64" cy="137"/>
          </a:xfrm>
          <a:prstGeom prst="curvedConnector2">
            <a:avLst>
              <a:gd name="adj1" fmla="val -990625"/>
              <a:gd name="adj2" fmla="val -1203282"/>
              <a:gd name="adj3" fmla="val -990625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80"/>
          <xdr:cNvSpPr>
            <a:spLocks/>
          </xdr:cNvSpPr>
        </xdr:nvSpPr>
        <xdr:spPr>
          <a:xfrm rot="10800000">
            <a:off x="465" y="1549"/>
            <a:ext cx="84" cy="0"/>
          </a:xfrm>
          <a:prstGeom prst="straightConnector1">
            <a:avLst>
              <a:gd name="adj1" fmla="val -703569"/>
              <a:gd name="adj2" fmla="val -50004"/>
              <a:gd name="adj3" fmla="val -70356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81"/>
          <xdr:cNvSpPr>
            <a:spLocks/>
          </xdr:cNvSpPr>
        </xdr:nvSpPr>
        <xdr:spPr>
          <a:xfrm rot="5400000" flipH="1">
            <a:off x="505" y="1432"/>
            <a:ext cx="58" cy="135"/>
          </a:xfrm>
          <a:prstGeom prst="curvedConnector2">
            <a:avLst>
              <a:gd name="adj1" fmla="val -1087930"/>
              <a:gd name="adj2" fmla="val 1089259"/>
              <a:gd name="adj3" fmla="val -1087930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282"/>
          <xdr:cNvSpPr txBox="1">
            <a:spLocks noChangeArrowheads="1"/>
          </xdr:cNvSpPr>
        </xdr:nvSpPr>
        <xdr:spPr>
          <a:xfrm>
            <a:off x="44" y="1384"/>
            <a:ext cx="302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Typical Long-Hole Stope</a:t>
            </a:r>
          </a:p>
        </xdr:txBody>
      </xdr:sp>
      <xdr:sp>
        <xdr:nvSpPr>
          <xdr:cNvPr id="19" name="Rectangle 283"/>
          <xdr:cNvSpPr>
            <a:spLocks/>
          </xdr:cNvSpPr>
        </xdr:nvSpPr>
        <xdr:spPr>
          <a:xfrm>
            <a:off x="67" y="1652"/>
            <a:ext cx="412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 LEVEL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5</xdr:row>
      <xdr:rowOff>104775</xdr:rowOff>
    </xdr:from>
    <xdr:to>
      <xdr:col>8</xdr:col>
      <xdr:colOff>409575</xdr:colOff>
      <xdr:row>22</xdr:row>
      <xdr:rowOff>95250</xdr:rowOff>
    </xdr:to>
    <xdr:grpSp>
      <xdr:nvGrpSpPr>
        <xdr:cNvPr id="1" name="Group 104"/>
        <xdr:cNvGrpSpPr>
          <a:grpSpLocks/>
        </xdr:cNvGrpSpPr>
      </xdr:nvGrpSpPr>
      <xdr:grpSpPr>
        <a:xfrm>
          <a:off x="495300" y="914400"/>
          <a:ext cx="6010275" cy="2743200"/>
          <a:chOff x="52" y="96"/>
          <a:chExt cx="631" cy="288"/>
        </a:xfrm>
        <a:solidFill>
          <a:srgbClr val="FFFFFF"/>
        </a:solidFill>
      </xdr:grpSpPr>
      <xdr:sp>
        <xdr:nvSpPr>
          <xdr:cNvPr id="2" name="Rectangle 88"/>
          <xdr:cNvSpPr>
            <a:spLocks/>
          </xdr:cNvSpPr>
        </xdr:nvSpPr>
        <xdr:spPr>
          <a:xfrm>
            <a:off x="72" y="137"/>
            <a:ext cx="426" cy="1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3rd drilling level or UPPER LEVEL</a:t>
            </a:r>
          </a:p>
        </xdr:txBody>
      </xdr:sp>
      <xdr:sp>
        <xdr:nvSpPr>
          <xdr:cNvPr id="3" name="Rectangle 89"/>
          <xdr:cNvSpPr>
            <a:spLocks/>
          </xdr:cNvSpPr>
        </xdr:nvSpPr>
        <xdr:spPr>
          <a:xfrm>
            <a:off x="72" y="213"/>
            <a:ext cx="426" cy="20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2nd drilling sub-level</a:t>
            </a:r>
          </a:p>
        </xdr:txBody>
      </xdr:sp>
      <xdr:sp>
        <xdr:nvSpPr>
          <xdr:cNvPr id="4" name="Rectangle 90"/>
          <xdr:cNvSpPr>
            <a:spLocks/>
          </xdr:cNvSpPr>
        </xdr:nvSpPr>
        <xdr:spPr>
          <a:xfrm>
            <a:off x="76" y="290"/>
            <a:ext cx="426" cy="21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1st drilling sub-level</a:t>
            </a:r>
          </a:p>
        </xdr:txBody>
      </xdr:sp>
      <xdr:sp>
        <xdr:nvSpPr>
          <xdr:cNvPr id="5" name="Rectangle 91"/>
          <xdr:cNvSpPr>
            <a:spLocks/>
          </xdr:cNvSpPr>
        </xdr:nvSpPr>
        <xdr:spPr>
          <a:xfrm>
            <a:off x="474" y="152"/>
            <a:ext cx="16" cy="60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2"/>
          <xdr:cNvSpPr>
            <a:spLocks/>
          </xdr:cNvSpPr>
        </xdr:nvSpPr>
        <xdr:spPr>
          <a:xfrm>
            <a:off x="472" y="233"/>
            <a:ext cx="16" cy="56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3"/>
          <xdr:cNvSpPr>
            <a:spLocks/>
          </xdr:cNvSpPr>
        </xdr:nvSpPr>
        <xdr:spPr>
          <a:xfrm>
            <a:off x="472" y="311"/>
            <a:ext cx="16" cy="69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94"/>
          <xdr:cNvSpPr txBox="1">
            <a:spLocks noChangeArrowheads="1"/>
          </xdr:cNvSpPr>
        </xdr:nvSpPr>
        <xdr:spPr>
          <a:xfrm>
            <a:off x="574" y="240"/>
            <a:ext cx="109" cy="42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Drop raises</a:t>
            </a:r>
          </a:p>
        </xdr:txBody>
      </xdr:sp>
      <xdr:sp>
        <xdr:nvSpPr>
          <xdr:cNvPr id="9" name="AutoShape 95"/>
          <xdr:cNvSpPr>
            <a:spLocks/>
          </xdr:cNvSpPr>
        </xdr:nvSpPr>
        <xdr:spPr>
          <a:xfrm rot="5400000">
            <a:off x="526" y="244"/>
            <a:ext cx="64" cy="141"/>
          </a:xfrm>
          <a:prstGeom prst="curvedConnector2">
            <a:avLst>
              <a:gd name="adj1" fmla="val -1032814"/>
              <a:gd name="adj2" fmla="val -250000"/>
              <a:gd name="adj3" fmla="val -1032814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96"/>
          <xdr:cNvSpPr>
            <a:spLocks/>
          </xdr:cNvSpPr>
        </xdr:nvSpPr>
        <xdr:spPr>
          <a:xfrm rot="10800000">
            <a:off x="488" y="261"/>
            <a:ext cx="86" cy="0"/>
          </a:xfrm>
          <a:prstGeom prst="straightConnector1">
            <a:avLst>
              <a:gd name="adj1" fmla="val -717439"/>
              <a:gd name="adj2" fmla="val -50004"/>
              <a:gd name="adj3" fmla="val -71743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97"/>
          <xdr:cNvSpPr>
            <a:spLocks/>
          </xdr:cNvSpPr>
        </xdr:nvSpPr>
        <xdr:spPr>
          <a:xfrm rot="5400000" flipH="1">
            <a:off x="530" y="142"/>
            <a:ext cx="58" cy="139"/>
          </a:xfrm>
          <a:prstGeom prst="curvedConnector2">
            <a:avLst>
              <a:gd name="adj1" fmla="val -1134481"/>
              <a:gd name="adj2" fmla="val 122662"/>
              <a:gd name="adj3" fmla="val -1134481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98"/>
          <xdr:cNvSpPr txBox="1">
            <a:spLocks noChangeArrowheads="1"/>
          </xdr:cNvSpPr>
        </xdr:nvSpPr>
        <xdr:spPr>
          <a:xfrm>
            <a:off x="52" y="96"/>
            <a:ext cx="312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Typical Long-Hole Stope</a:t>
            </a:r>
          </a:p>
        </xdr:txBody>
      </xdr:sp>
      <xdr:sp>
        <xdr:nvSpPr>
          <xdr:cNvPr id="13" name="Rectangle 99"/>
          <xdr:cNvSpPr>
            <a:spLocks/>
          </xdr:cNvSpPr>
        </xdr:nvSpPr>
        <xdr:spPr>
          <a:xfrm>
            <a:off x="76" y="364"/>
            <a:ext cx="426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 LEVEL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50" zoomScaleNormal="50" workbookViewId="0" topLeftCell="A1">
      <selection activeCell="A3" sqref="A3"/>
    </sheetView>
  </sheetViews>
  <sheetFormatPr defaultColWidth="9.140625" defaultRowHeight="12.75"/>
  <cols>
    <col min="1" max="1" width="13.421875" style="0" customWidth="1"/>
    <col min="2" max="2" width="10.7109375" style="0" customWidth="1"/>
    <col min="3" max="3" width="28.00390625" style="0" customWidth="1"/>
    <col min="4" max="4" width="9.7109375" style="0" customWidth="1"/>
    <col min="5" max="5" width="21.140625" style="0" customWidth="1"/>
    <col min="6" max="6" width="21.57421875" style="0" customWidth="1"/>
    <col min="7" max="7" width="28.57421875" style="0" customWidth="1"/>
    <col min="8" max="8" width="15.57421875" style="0" customWidth="1"/>
    <col min="9" max="9" width="20.421875" style="0" customWidth="1"/>
    <col min="10" max="10" width="21.7109375" style="0" customWidth="1"/>
    <col min="11" max="11" width="15.7109375" style="0" customWidth="1"/>
    <col min="12" max="12" width="22.00390625" style="0" customWidth="1"/>
    <col min="13" max="13" width="23.421875" style="0" customWidth="1"/>
    <col min="14" max="16384" width="11.421875" style="0" customWidth="1"/>
  </cols>
  <sheetData>
    <row r="1" ht="41.25">
      <c r="B1" s="480" t="s">
        <v>157</v>
      </c>
    </row>
    <row r="3" spans="2:12" ht="41.25">
      <c r="B3" s="480" t="s">
        <v>25</v>
      </c>
      <c r="L3" s="481"/>
    </row>
    <row r="4" ht="18.75" thickBot="1">
      <c r="L4" s="78" t="s">
        <v>416</v>
      </c>
    </row>
    <row r="5" spans="3:13" ht="49.5" customHeight="1" thickBot="1" thickTop="1">
      <c r="C5" s="477" t="s">
        <v>26</v>
      </c>
      <c r="D5" s="629" t="s">
        <v>319</v>
      </c>
      <c r="E5" s="629"/>
      <c r="F5" s="630" t="s">
        <v>17</v>
      </c>
      <c r="G5" s="630"/>
      <c r="H5" s="630" t="s">
        <v>27</v>
      </c>
      <c r="I5" s="630"/>
      <c r="J5" s="630"/>
      <c r="K5" s="630" t="s">
        <v>157</v>
      </c>
      <c r="L5" s="630"/>
      <c r="M5" s="630"/>
    </row>
    <row r="6" spans="2:13" ht="49.5" customHeight="1" thickBot="1">
      <c r="B6" s="482" t="s">
        <v>229</v>
      </c>
      <c r="C6" s="479" t="s">
        <v>38</v>
      </c>
      <c r="D6" s="617" t="s">
        <v>156</v>
      </c>
      <c r="E6" s="617"/>
      <c r="F6" s="483" t="s">
        <v>28</v>
      </c>
      <c r="G6" s="484" t="s">
        <v>21</v>
      </c>
      <c r="H6" s="485" t="s">
        <v>28</v>
      </c>
      <c r="I6" s="486" t="s">
        <v>29</v>
      </c>
      <c r="J6" s="487" t="s">
        <v>30</v>
      </c>
      <c r="K6" s="483" t="s">
        <v>28</v>
      </c>
      <c r="L6" s="486" t="s">
        <v>29</v>
      </c>
      <c r="M6" s="488" t="s">
        <v>30</v>
      </c>
    </row>
    <row r="7" spans="2:13" ht="72" customHeight="1" thickTop="1">
      <c r="B7" s="489">
        <v>1</v>
      </c>
      <c r="C7" s="593"/>
      <c r="D7" s="594"/>
      <c r="E7" s="594"/>
      <c r="F7" s="614" t="str">
        <f>CONCATENATE("Fixed activities per shift                                                                                            ",'Long-Hole'!E22," hours/shift                                                                                                                                                                                                                 (section 1.0)")</f>
        <v>Fixed activities per shift                                                                                            2.13 hours/shift                                                                                                                                                                                                                 (section 1.0)</v>
      </c>
      <c r="G7" s="614"/>
      <c r="H7" s="614"/>
      <c r="I7" s="614"/>
      <c r="J7" s="614"/>
      <c r="K7" s="594"/>
      <c r="L7" s="594"/>
      <c r="M7" s="595"/>
    </row>
    <row r="8" spans="2:13" ht="72" customHeight="1">
      <c r="B8" s="490">
        <v>2</v>
      </c>
      <c r="C8" s="596"/>
      <c r="D8" s="597"/>
      <c r="E8" s="597"/>
      <c r="F8" s="615"/>
      <c r="G8" s="615"/>
      <c r="H8" s="615"/>
      <c r="I8" s="615"/>
      <c r="J8" s="615"/>
      <c r="K8" s="597"/>
      <c r="L8" s="597"/>
      <c r="M8" s="587"/>
    </row>
    <row r="9" spans="2:13" ht="78" customHeight="1">
      <c r="B9" s="490">
        <v>3</v>
      </c>
      <c r="C9" s="478" t="str">
        <f>CONCATENATE("Preparation                       ( ",'Long-Hole'!E35,"   hr)                 (section 2.0)")</f>
        <v>Preparation                       ( 1   hr)                 (section 2.0)</v>
      </c>
      <c r="D9" s="618" t="str">
        <f>CONCATENATE(ROUND('Long-Hole'!E63/COUNTIF('Long-Hole'!B118:B123,"&gt;0"),2)," hours/sub-level                   with  ",'Long-Hole'!C63," men         (section 3.0)")</f>
        <v>3.83 hours/sub-level                   with  2 men         (section 3.0)</v>
      </c>
      <c r="E9" s="616"/>
      <c r="F9" s="478" t="str">
        <f>CONCATENATE("Preparation          ( ",'Long-Hole'!L142/60," hr/shift)  (section 4.3)")</f>
        <v>Preparation          ( 0.3 hr/shift)  (section 4.3)</v>
      </c>
      <c r="G9" s="633" t="str">
        <f>CONCATENATE("Fixed time                      ( ",'Long-Hole'!E45,"  hr               /sub-level)           (section 2.0)")</f>
        <v>Fixed time                      ( 2.17  hr               /sub-level)           (section 2.0)</v>
      </c>
      <c r="H9" s="631" t="str">
        <f>CONCATENATE("Preparation                                      ( ",'Long-Hole'!L142/60," hr/shift)                (section 4.3)")</f>
        <v>Preparation                                      ( 0.3 hr/shift)                (section 4.3)</v>
      </c>
      <c r="I9" s="632"/>
      <c r="J9" s="633" t="str">
        <f>CONCATENATE("Fixed time             ( ",'Long-Hole'!L45," hr/ blast)                    (section 2.0)")</f>
        <v>Fixed time             ( 2.48 hr/ blast)                    (section 2.0)</v>
      </c>
      <c r="K9" s="631" t="str">
        <f>CONCATENATE("Preparation                                     ( ",'Long-Hole'!L142/60," hr/shift)                (section 4.3)")</f>
        <v>Preparation                                     ( 0.3 hr/shift)                (section 4.3)</v>
      </c>
      <c r="L9" s="632"/>
      <c r="M9" s="633" t="str">
        <f>CONCATENATE("Fixed time              ( ",'Long-Hole'!L45," hr/ blast)            (section 2.0)")</f>
        <v>Fixed time              ( 2.48 hr/ blast)            (section 2.0)</v>
      </c>
    </row>
    <row r="10" spans="2:13" ht="78" customHeight="1">
      <c r="B10" s="490">
        <v>4</v>
      </c>
      <c r="C10" s="624" t="str">
        <f>CONCATENATE('Long-Hole'!H87," m advanced      /hour                         with  ",'Long-Hole'!J87," men  (section 4.1)")</f>
        <v>8 m advanced      /hour                         with  2 men  (section 4.1)</v>
      </c>
      <c r="D10" s="610"/>
      <c r="E10" s="611"/>
      <c r="F10" s="624" t="str">
        <f>CONCATENATE('Long-Hole'!E169,"  m/hour  (section 4.4)")</f>
        <v>14.9  m/hour  (section 4.4)</v>
      </c>
      <c r="G10" s="634"/>
      <c r="H10" s="624" t="str">
        <f>CONCATENATE('Long-Hole'!J133," m/hour            (section 4.3)")</f>
        <v>8.9 m/hour            (section 4.3)</v>
      </c>
      <c r="I10" s="622"/>
      <c r="J10" s="634"/>
      <c r="K10" s="624" t="str">
        <f>CONCATENATE('Long-Hole'!K133," m/hour                    (section 4.3)")</f>
        <v>13.9 m/hour                    (section 4.3)</v>
      </c>
      <c r="L10" s="622"/>
      <c r="M10" s="634"/>
    </row>
    <row r="11" spans="2:13" ht="78" customHeight="1">
      <c r="B11" s="490">
        <v>5</v>
      </c>
      <c r="C11" s="625"/>
      <c r="D11" s="610"/>
      <c r="E11" s="611"/>
      <c r="F11" s="625"/>
      <c r="G11" s="623"/>
      <c r="H11" s="625"/>
      <c r="I11" s="619"/>
      <c r="J11" s="623"/>
      <c r="K11" s="625"/>
      <c r="L11" s="619"/>
      <c r="M11" s="623"/>
    </row>
    <row r="12" spans="2:13" ht="78" customHeight="1">
      <c r="B12" s="490">
        <v>6</v>
      </c>
      <c r="C12" s="625"/>
      <c r="D12" s="610"/>
      <c r="E12" s="611"/>
      <c r="F12" s="625"/>
      <c r="G12" s="627" t="str">
        <f>CONCATENATE(ROUND('Long-Hole'!K163/SUMPRODUCT('Long-Hole'!D152:D157,'Long-Hole'!E152:E157),2),"  hr/hole of              ",ROUND('Long-Hole'!H163/SUMPRODUCT('Long-Hole'!D152:D157,'Long-Hole'!E152:E157),2)," meters                             with   ",'Long-Hole'!L171," men     (section 4.4)")</f>
        <v>0.13  hr/hole of              5 meters                             with   2 men     (section 4.4)</v>
      </c>
      <c r="H12" s="625"/>
      <c r="I12" s="619"/>
      <c r="J12" s="627" t="str">
        <f>CONCATENATE(ROUND('Long-Hole'!E217,1)," m advanced    /shift  with               ",'Long-Hole'!M211," men          (section 4.5.2)")</f>
        <v>3.1 m advanced    /shift  with               2 men          (section 4.5.2)</v>
      </c>
      <c r="K12" s="625"/>
      <c r="L12" s="619"/>
      <c r="M12" s="627" t="str">
        <f>CONCATENATE('Long-Hole'!E213," rows/shift                     with ",'Long-Hole'!M211," men (section 4.5.2)")</f>
        <v>4.7 rows/shift                     with 2 men (section 4.5.2)</v>
      </c>
    </row>
    <row r="13" spans="2:13" ht="78" customHeight="1">
      <c r="B13" s="490">
        <v>7</v>
      </c>
      <c r="C13" s="625"/>
      <c r="D13" s="610"/>
      <c r="E13" s="611"/>
      <c r="F13" s="625"/>
      <c r="G13" s="628"/>
      <c r="H13" s="625"/>
      <c r="I13" s="619"/>
      <c r="J13" s="628"/>
      <c r="K13" s="625"/>
      <c r="L13" s="619"/>
      <c r="M13" s="628"/>
    </row>
    <row r="14" spans="2:13" ht="98.25" customHeight="1" thickBot="1">
      <c r="B14" s="490">
        <v>8</v>
      </c>
      <c r="C14" s="626"/>
      <c r="D14" s="612"/>
      <c r="E14" s="613"/>
      <c r="F14" s="626"/>
      <c r="G14" s="621"/>
      <c r="H14" s="626"/>
      <c r="I14" s="620"/>
      <c r="J14" s="491" t="str">
        <f>CONCATENATE('Long-Hole'!J111/'Long-Hole'!E111," blasts/                drop raise         (section 4.2.1)")</f>
        <v>2 blasts/                drop raise         (section 4.2.1)</v>
      </c>
      <c r="K14" s="626"/>
      <c r="L14" s="620"/>
      <c r="M14" s="621"/>
    </row>
    <row r="15" ht="17.25" customHeight="1" thickBot="1" thickTop="1"/>
    <row r="16" spans="1:13" ht="39.75" customHeight="1" thickBot="1" thickTop="1">
      <c r="A16" s="608" t="s">
        <v>39</v>
      </c>
      <c r="B16" s="609"/>
      <c r="C16" s="590" t="str">
        <f>+'Long-Hole'!F318</f>
        <v>18.8 meters/ms</v>
      </c>
      <c r="D16" s="635" t="str">
        <f>+'Long-Hole'!G318</f>
        <v>9 manshifts/sub</v>
      </c>
      <c r="E16" s="635"/>
      <c r="F16" s="591" t="str">
        <f>CONCATENATE(ROUND('Long-Hole'!E323,1)," m/ms")</f>
        <v>76 m/ms</v>
      </c>
      <c r="G16" s="592" t="str">
        <f>+'Long-Hole'!H318</f>
        <v>94.6 meters/ms</v>
      </c>
      <c r="H16" s="636" t="str">
        <f>CONCATENATE('Long-Hole'!E321," meters/manshift")</f>
        <v>43 meters/manshift</v>
      </c>
      <c r="I16" s="637"/>
      <c r="J16" s="592" t="str">
        <f>CONCATENATE(ROUND('Long-Hole'!F321/'Long-Hole'!M211,1)," t/ms")</f>
        <v>31.6 t/ms</v>
      </c>
      <c r="K16" s="638" t="str">
        <f>CONCATENATE('Long-Hole'!E322," meters/manshift")</f>
        <v>67.3 meters/manshift</v>
      </c>
      <c r="L16" s="639"/>
      <c r="M16" s="592" t="str">
        <f>CONCATENATE('Long-Hole'!F322/'Long-Hole'!M211," t/ms")</f>
        <v>144.7 t/ms</v>
      </c>
    </row>
    <row r="17" ht="19.5" customHeight="1"/>
    <row r="18" ht="19.5" customHeight="1">
      <c r="G18" s="418"/>
    </row>
    <row r="19" ht="19.5" customHeight="1">
      <c r="G19" s="418"/>
    </row>
  </sheetData>
  <mergeCells count="23">
    <mergeCell ref="A16:B16"/>
    <mergeCell ref="D16:E16"/>
    <mergeCell ref="H16:I16"/>
    <mergeCell ref="K16:L16"/>
    <mergeCell ref="D6:E6"/>
    <mergeCell ref="D9:E14"/>
    <mergeCell ref="G9:G11"/>
    <mergeCell ref="H9:I9"/>
    <mergeCell ref="F7:J8"/>
    <mergeCell ref="H10:I14"/>
    <mergeCell ref="G12:G14"/>
    <mergeCell ref="J12:J13"/>
    <mergeCell ref="J9:J11"/>
    <mergeCell ref="K9:L9"/>
    <mergeCell ref="M9:M11"/>
    <mergeCell ref="C10:C14"/>
    <mergeCell ref="F10:F14"/>
    <mergeCell ref="M12:M14"/>
    <mergeCell ref="K10:L14"/>
    <mergeCell ref="D5:E5"/>
    <mergeCell ref="F5:G5"/>
    <mergeCell ref="H5:J5"/>
    <mergeCell ref="K5:M5"/>
  </mergeCells>
  <printOptions/>
  <pageMargins left="0.75" right="0.75" top="1" bottom="1" header="0.4921259845" footer="0.4921259845"/>
  <pageSetup fitToHeight="1" fitToWidth="1" horizontalDpi="600" verticalDpi="600" orientation="landscape" scale="49" r:id="rId1"/>
  <headerFooter alignWithMargins="0">
    <oddFooter>&amp;LFile:  &amp;F
Sheet:  &amp;A
Page &amp;P of &amp;N&amp;CExperimental Mine
Val-d'Or&amp;R&amp;D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50" zoomScaleNormal="50" workbookViewId="0" topLeftCell="B1">
      <selection activeCell="L3" sqref="L3"/>
    </sheetView>
  </sheetViews>
  <sheetFormatPr defaultColWidth="9.140625" defaultRowHeight="12.75"/>
  <cols>
    <col min="1" max="1" width="27.28125" style="0" customWidth="1"/>
    <col min="2" max="2" width="12.7109375" style="0" customWidth="1"/>
    <col min="3" max="3" width="18.140625" style="0" customWidth="1"/>
    <col min="4" max="4" width="11.421875" style="0" customWidth="1"/>
    <col min="5" max="5" width="17.421875" style="0" customWidth="1"/>
    <col min="6" max="6" width="15.57421875" style="0" customWidth="1"/>
    <col min="7" max="7" width="24.7109375" style="0" customWidth="1"/>
    <col min="8" max="8" width="15.421875" style="0" customWidth="1"/>
    <col min="9" max="10" width="20.421875" style="0" customWidth="1"/>
    <col min="11" max="11" width="16.421875" style="0" customWidth="1"/>
    <col min="12" max="12" width="19.28125" style="0" customWidth="1"/>
    <col min="13" max="13" width="17.140625" style="0" customWidth="1"/>
    <col min="14" max="14" width="12.8515625" style="0" customWidth="1"/>
    <col min="15" max="16384" width="11.421875" style="0" customWidth="1"/>
  </cols>
  <sheetData>
    <row r="1" ht="41.25">
      <c r="A1" s="480" t="s">
        <v>153</v>
      </c>
    </row>
    <row r="3" spans="1:12" ht="41.25">
      <c r="A3" s="480" t="s">
        <v>154</v>
      </c>
      <c r="I3" s="1"/>
      <c r="L3" s="78" t="s">
        <v>416</v>
      </c>
    </row>
    <row r="4" ht="13.5" thickBot="1"/>
    <row r="5" spans="3:13" ht="28.5" thickBot="1" thickTop="1">
      <c r="C5" s="477" t="s">
        <v>26</v>
      </c>
      <c r="D5" s="629" t="s">
        <v>155</v>
      </c>
      <c r="E5" s="629"/>
      <c r="F5" s="630" t="s">
        <v>17</v>
      </c>
      <c r="G5" s="630"/>
      <c r="H5" s="630" t="s">
        <v>27</v>
      </c>
      <c r="I5" s="630"/>
      <c r="J5" s="630"/>
      <c r="K5" s="630" t="s">
        <v>157</v>
      </c>
      <c r="L5" s="630"/>
      <c r="M5" s="630"/>
    </row>
    <row r="6" spans="3:14" ht="18.75" thickBot="1">
      <c r="C6" s="479" t="s">
        <v>38</v>
      </c>
      <c r="D6" s="617" t="s">
        <v>156</v>
      </c>
      <c r="E6" s="617"/>
      <c r="F6" s="483" t="s">
        <v>28</v>
      </c>
      <c r="G6" s="578" t="s">
        <v>21</v>
      </c>
      <c r="H6" s="485" t="s">
        <v>28</v>
      </c>
      <c r="I6" s="486" t="s">
        <v>29</v>
      </c>
      <c r="J6" s="578" t="s">
        <v>30</v>
      </c>
      <c r="K6" s="485" t="s">
        <v>28</v>
      </c>
      <c r="L6" s="486" t="s">
        <v>29</v>
      </c>
      <c r="M6" s="578" t="s">
        <v>30</v>
      </c>
      <c r="N6" s="484" t="s">
        <v>8</v>
      </c>
    </row>
    <row r="7" spans="1:14" ht="24" thickTop="1">
      <c r="A7" s="118" t="s">
        <v>32</v>
      </c>
      <c r="C7" s="515"/>
      <c r="D7" s="525"/>
      <c r="E7" s="526"/>
      <c r="G7" s="526"/>
      <c r="J7" s="526"/>
      <c r="N7" s="515"/>
    </row>
    <row r="8" spans="1:14" ht="18">
      <c r="A8" s="496" t="s">
        <v>158</v>
      </c>
      <c r="B8" s="512">
        <v>20</v>
      </c>
      <c r="C8" s="541" t="s">
        <v>31</v>
      </c>
      <c r="D8" s="542" t="s">
        <v>31</v>
      </c>
      <c r="E8" s="543"/>
      <c r="F8" s="542" t="s">
        <v>31</v>
      </c>
      <c r="G8" s="543" t="s">
        <v>31</v>
      </c>
      <c r="H8" s="542" t="s">
        <v>31</v>
      </c>
      <c r="I8" s="498" t="s">
        <v>31</v>
      </c>
      <c r="J8" s="543" t="s">
        <v>31</v>
      </c>
      <c r="K8" s="542" t="s">
        <v>31</v>
      </c>
      <c r="L8" s="498" t="s">
        <v>31</v>
      </c>
      <c r="M8" s="543" t="s">
        <v>31</v>
      </c>
      <c r="N8" s="541" t="s">
        <v>31</v>
      </c>
    </row>
    <row r="9" spans="1:17" ht="18">
      <c r="A9" s="496" t="s">
        <v>332</v>
      </c>
      <c r="B9" s="512">
        <v>8.19</v>
      </c>
      <c r="C9" s="544">
        <f>+'Long-Hole'!C278*(1+'Long-Hole'!$I$282)*(1+1/($B$13-'Long-Hole'!$E$22)*'Long-Hole'!$E$22)</f>
        <v>237.44463373083474</v>
      </c>
      <c r="D9" s="545">
        <f>+('Long-Hole'!D278+'Long-Hole'!M278)*(1+'Long-Hole'!$I$282)*(1+1/($B$13-'Long-Hole'!$E$22)*'Long-Hole'!$E$22)</f>
        <v>75.8830210107893</v>
      </c>
      <c r="E9" s="546"/>
      <c r="F9" s="547">
        <f>+'Long-Hole'!L248*'Long-Hole'!L254*(1+'Long-Hole'!$I$282)*(1+1/($B$13-'Long-Hole'!$E$22)*'Long-Hole'!$E$22)</f>
        <v>719.5434412265759</v>
      </c>
      <c r="G9" s="546">
        <f>+'Long-Hole'!L250*('Long-Hole'!L256+'Long-Hole'!L230)*(1+'Long-Hole'!$I$282)*(1+1/($B$13-'Long-Hole'!$E$22)*'Long-Hole'!$E$22)</f>
        <v>612.560136286201</v>
      </c>
      <c r="H9" s="547">
        <f>+'Long-Hole'!F278*(1+'Long-Hole'!$I$282)*(1+1/($B$13-'Long-Hole'!$E$22)*'Long-Hole'!$E$22)</f>
        <v>107.07593361790094</v>
      </c>
      <c r="I9" s="547">
        <f>+'Long-Hole'!G278*(1+'Long-Hole'!$I$282)*(1+1/($B$13-'Long-Hole'!$E$22)*'Long-Hole'!$E$22)</f>
        <v>10.613555883084812</v>
      </c>
      <c r="J9" s="546">
        <f>+'Long-Hole'!H278*(1+'Long-Hole'!$I$282)*(1+1/($B$13-'Long-Hole'!$E$22)*'Long-Hole'!$E$22)</f>
        <v>187.25996592844973</v>
      </c>
      <c r="K9" s="547">
        <f>+'Long-Hole'!I278*(1+'Long-Hole'!$I$282)*(1+1/($B$13-'Long-Hole'!$E$22)*'Long-Hole'!$E$22)</f>
        <v>975.3310210434718</v>
      </c>
      <c r="L9" s="547">
        <f>+'Long-Hole'!J278*(1+'Long-Hole'!$I$282)*(1+1/($B$13-'Long-Hole'!$E$22)*'Long-Hole'!$E$22)</f>
        <v>9.725098966823133</v>
      </c>
      <c r="M9" s="547">
        <f>+'Long-Hole'!K278*(1+'Long-Hole'!$I$282)*(1+1/($B$13-'Long-Hole'!$E$22)*'Long-Hole'!$E$22)</f>
        <v>1552.1512776831344</v>
      </c>
      <c r="N9" s="519">
        <f>SUM(C9:M9)</f>
        <v>4487.588085377266</v>
      </c>
      <c r="P9" s="18"/>
      <c r="Q9" s="18"/>
    </row>
    <row r="10" spans="1:14" ht="18">
      <c r="A10" s="496" t="s">
        <v>159</v>
      </c>
      <c r="B10" s="513">
        <v>0.5</v>
      </c>
      <c r="C10" s="516" t="s">
        <v>126</v>
      </c>
      <c r="D10" s="644" t="s">
        <v>126</v>
      </c>
      <c r="E10" s="645"/>
      <c r="F10" s="522" t="s">
        <v>126</v>
      </c>
      <c r="G10" s="495" t="s">
        <v>126</v>
      </c>
      <c r="H10" s="522" t="s">
        <v>126</v>
      </c>
      <c r="I10" s="510" t="s">
        <v>126</v>
      </c>
      <c r="J10" s="495" t="s">
        <v>126</v>
      </c>
      <c r="K10" s="522" t="s">
        <v>126</v>
      </c>
      <c r="L10" s="510" t="s">
        <v>126</v>
      </c>
      <c r="M10" s="532" t="s">
        <v>126</v>
      </c>
      <c r="N10" s="516" t="s">
        <v>127</v>
      </c>
    </row>
    <row r="11" spans="1:14" ht="18">
      <c r="A11" s="505" t="s">
        <v>160</v>
      </c>
      <c r="B11" s="514">
        <f>+(B8+B9)*(1+B10)</f>
        <v>42.285</v>
      </c>
      <c r="C11" s="517">
        <f>+C9*$B$11/'Long-Hole'!$K$291</f>
        <v>0.34850116130563846</v>
      </c>
      <c r="D11" s="642">
        <f>+D9*$B$11/'Long-Hole'!$K$291</f>
        <v>0.11137468356357311</v>
      </c>
      <c r="E11" s="643"/>
      <c r="F11" s="523">
        <f>+F9*$B$11/'Long-Hole'!$K$291</f>
        <v>1.0560850373294959</v>
      </c>
      <c r="G11" s="530">
        <f>+G9*$B$11/'Long-Hole'!$K$291</f>
        <v>0.8990639860375956</v>
      </c>
      <c r="H11" s="523">
        <f>+H9*$B$11/'Long-Hole'!$K$291</f>
        <v>0.15715700383452397</v>
      </c>
      <c r="I11" s="511">
        <f>+I9*$B$11/'Long-Hole'!$K$291</f>
        <v>0.015577680121549172</v>
      </c>
      <c r="J11" s="530">
        <f>+J9*$B$11/'Long-Hole'!$K$291</f>
        <v>0.274844348203285</v>
      </c>
      <c r="K11" s="523">
        <f>+K9*$B$11/'Long-Hole'!$K$291</f>
        <v>1.4315084243023</v>
      </c>
      <c r="L11" s="511">
        <f>+L9*$B$11/'Long-Hole'!$K$291</f>
        <v>0.014273678164452033</v>
      </c>
      <c r="M11" s="533">
        <f>+M9*$B$11/'Long-Hole'!$K$291</f>
        <v>2.2781164362206336</v>
      </c>
      <c r="N11" s="517">
        <f>SUM(C11:M11)</f>
        <v>6.586502439083047</v>
      </c>
    </row>
    <row r="12" spans="1:14" ht="9" customHeight="1">
      <c r="A12" s="78"/>
      <c r="B12" s="498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</row>
    <row r="13" spans="1:14" ht="18">
      <c r="A13" s="505" t="s">
        <v>161</v>
      </c>
      <c r="B13" s="165">
        <f>+'Long-Hole'!C281</f>
        <v>8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1:15" ht="18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506"/>
      <c r="O14" s="149"/>
    </row>
    <row r="15" spans="1:14" ht="23.25">
      <c r="A15" s="118" t="s">
        <v>110</v>
      </c>
      <c r="C15" s="1"/>
      <c r="D15" s="1"/>
      <c r="E15" s="1"/>
      <c r="F15" s="1"/>
      <c r="G15" s="1"/>
      <c r="H15" s="1"/>
      <c r="I15" s="1"/>
      <c r="J15" s="1"/>
      <c r="K15" s="1"/>
      <c r="N15" s="558" t="s">
        <v>126</v>
      </c>
    </row>
    <row r="16" spans="1:15" ht="18">
      <c r="A16" s="496" t="s">
        <v>162</v>
      </c>
      <c r="B16" s="78"/>
      <c r="C16" s="520"/>
      <c r="D16" s="528"/>
      <c r="E16" s="529"/>
      <c r="F16" s="497"/>
      <c r="G16" s="529"/>
      <c r="H16" s="524"/>
      <c r="I16" s="540"/>
      <c r="J16" s="529"/>
      <c r="K16" s="524"/>
      <c r="L16" s="540"/>
      <c r="M16" s="497"/>
      <c r="N16" s="534">
        <v>1.85</v>
      </c>
      <c r="O16" s="78"/>
    </row>
    <row r="17" spans="1:15" ht="18.75">
      <c r="A17" s="499" t="s">
        <v>405</v>
      </c>
      <c r="B17" s="78"/>
      <c r="C17" s="518"/>
      <c r="D17" s="527"/>
      <c r="E17" s="166"/>
      <c r="F17" s="78"/>
      <c r="G17" s="166"/>
      <c r="H17" s="78"/>
      <c r="I17" s="78"/>
      <c r="J17" s="166"/>
      <c r="K17" s="78"/>
      <c r="L17" s="78"/>
      <c r="M17" s="78"/>
      <c r="N17" s="535"/>
      <c r="O17" s="78"/>
    </row>
    <row r="18" spans="1:15" ht="18">
      <c r="A18" s="78"/>
      <c r="B18" s="78"/>
      <c r="C18" s="518"/>
      <c r="D18" s="527"/>
      <c r="E18" s="166"/>
      <c r="F18" s="78"/>
      <c r="G18" s="166"/>
      <c r="H18" s="78"/>
      <c r="I18" s="78"/>
      <c r="J18" s="166"/>
      <c r="K18" s="78"/>
      <c r="L18" s="78"/>
      <c r="M18" s="78"/>
      <c r="N18" s="535"/>
      <c r="O18" s="78"/>
    </row>
    <row r="19" spans="1:15" ht="18">
      <c r="A19" s="496" t="s">
        <v>163</v>
      </c>
      <c r="B19" s="78"/>
      <c r="C19" s="520"/>
      <c r="D19" s="528"/>
      <c r="E19" s="529"/>
      <c r="F19" s="497"/>
      <c r="G19" s="529"/>
      <c r="H19" s="497"/>
      <c r="I19" s="497"/>
      <c r="J19" s="529"/>
      <c r="K19" s="497"/>
      <c r="L19" s="497"/>
      <c r="M19" s="529"/>
      <c r="N19" s="534">
        <v>2.74</v>
      </c>
      <c r="O19" s="78"/>
    </row>
    <row r="20" spans="1:15" ht="18">
      <c r="A20" s="78"/>
      <c r="B20" s="78"/>
      <c r="C20" s="518"/>
      <c r="D20" s="527"/>
      <c r="E20" s="166"/>
      <c r="F20" s="78"/>
      <c r="G20" s="166"/>
      <c r="H20" s="78"/>
      <c r="I20" s="78"/>
      <c r="J20" s="166"/>
      <c r="K20" s="78"/>
      <c r="L20" s="78"/>
      <c r="M20" s="78"/>
      <c r="N20" s="535"/>
      <c r="O20" s="78"/>
    </row>
    <row r="21" spans="1:15" ht="18">
      <c r="A21" s="61" t="s">
        <v>164</v>
      </c>
      <c r="B21" s="78"/>
      <c r="C21" s="518"/>
      <c r="D21" s="527"/>
      <c r="E21" s="166"/>
      <c r="F21" s="78"/>
      <c r="G21" s="166"/>
      <c r="H21" s="78"/>
      <c r="I21" s="78"/>
      <c r="J21" s="166"/>
      <c r="K21" s="78"/>
      <c r="L21" s="78"/>
      <c r="M21" s="78"/>
      <c r="N21" s="535"/>
      <c r="O21" s="78"/>
    </row>
    <row r="22" spans="1:15" ht="18">
      <c r="A22" s="501" t="s">
        <v>165</v>
      </c>
      <c r="B22" s="78"/>
      <c r="C22" s="520"/>
      <c r="D22" s="640"/>
      <c r="E22" s="641"/>
      <c r="F22" s="497"/>
      <c r="G22" s="529"/>
      <c r="H22" s="497"/>
      <c r="I22" s="497"/>
      <c r="J22" s="529"/>
      <c r="K22" s="497"/>
      <c r="L22" s="497"/>
      <c r="M22" s="497"/>
      <c r="N22" s="534"/>
      <c r="O22" s="78"/>
    </row>
    <row r="23" spans="1:15" ht="18">
      <c r="A23" s="501" t="s">
        <v>33</v>
      </c>
      <c r="B23" s="78"/>
      <c r="C23" s="520"/>
      <c r="D23" s="640"/>
      <c r="E23" s="641"/>
      <c r="F23" s="497"/>
      <c r="G23" s="529"/>
      <c r="H23" s="497"/>
      <c r="I23" s="497"/>
      <c r="J23" s="529"/>
      <c r="K23" s="497"/>
      <c r="L23" s="497"/>
      <c r="M23" s="497"/>
      <c r="N23" s="534"/>
      <c r="O23" s="78"/>
    </row>
    <row r="24" spans="1:15" ht="18">
      <c r="A24" s="501" t="s">
        <v>166</v>
      </c>
      <c r="B24" s="78"/>
      <c r="C24" s="520"/>
      <c r="D24" s="640"/>
      <c r="E24" s="641"/>
      <c r="F24" s="497"/>
      <c r="G24" s="529"/>
      <c r="H24" s="497"/>
      <c r="I24" s="497"/>
      <c r="J24" s="529"/>
      <c r="K24" s="497"/>
      <c r="L24" s="497"/>
      <c r="M24" s="497"/>
      <c r="N24" s="534"/>
      <c r="O24" s="78"/>
    </row>
    <row r="25" spans="1:15" ht="18">
      <c r="A25" s="501" t="s">
        <v>167</v>
      </c>
      <c r="B25" s="78"/>
      <c r="C25" s="520"/>
      <c r="D25" s="640"/>
      <c r="E25" s="641"/>
      <c r="F25" s="497"/>
      <c r="G25" s="529"/>
      <c r="H25" s="497"/>
      <c r="I25" s="497"/>
      <c r="J25" s="529"/>
      <c r="K25" s="497"/>
      <c r="L25" s="497"/>
      <c r="M25" s="497"/>
      <c r="N25" s="534"/>
      <c r="O25" s="78"/>
    </row>
    <row r="26" spans="1:15" ht="18">
      <c r="A26" s="501" t="s">
        <v>101</v>
      </c>
      <c r="B26" s="78"/>
      <c r="C26" s="520"/>
      <c r="D26" s="640"/>
      <c r="E26" s="641"/>
      <c r="F26" s="497"/>
      <c r="G26" s="529"/>
      <c r="H26" s="497"/>
      <c r="I26" s="497"/>
      <c r="J26" s="529"/>
      <c r="K26" s="497"/>
      <c r="L26" s="497"/>
      <c r="M26" s="497"/>
      <c r="N26" s="534"/>
      <c r="O26" s="78"/>
    </row>
    <row r="27" spans="1:15" ht="18">
      <c r="A27" s="501" t="s">
        <v>34</v>
      </c>
      <c r="B27" s="78"/>
      <c r="C27" s="520"/>
      <c r="D27" s="640"/>
      <c r="E27" s="641"/>
      <c r="F27" s="537"/>
      <c r="G27" s="538"/>
      <c r="H27" s="497"/>
      <c r="I27" s="497"/>
      <c r="J27" s="529"/>
      <c r="K27" s="497"/>
      <c r="L27" s="497"/>
      <c r="M27" s="497"/>
      <c r="N27" s="534">
        <v>0.8</v>
      </c>
      <c r="O27" s="78"/>
    </row>
    <row r="28" spans="1:15" ht="18">
      <c r="A28" s="501" t="s">
        <v>35</v>
      </c>
      <c r="B28" s="78"/>
      <c r="C28" s="520"/>
      <c r="D28" s="528"/>
      <c r="E28" s="529"/>
      <c r="F28" s="497"/>
      <c r="G28" s="529"/>
      <c r="H28" s="497"/>
      <c r="I28" s="497"/>
      <c r="J28" s="529"/>
      <c r="K28" s="497"/>
      <c r="L28" s="497"/>
      <c r="M28" s="497"/>
      <c r="N28" s="534">
        <v>0.2</v>
      </c>
      <c r="O28" s="78"/>
    </row>
    <row r="29" spans="1:15" ht="18">
      <c r="A29" s="502" t="s">
        <v>22</v>
      </c>
      <c r="B29" s="78"/>
      <c r="C29" s="518"/>
      <c r="D29" s="640"/>
      <c r="E29" s="641"/>
      <c r="F29" s="524"/>
      <c r="G29" s="531"/>
      <c r="H29" s="497"/>
      <c r="I29" s="497"/>
      <c r="J29" s="529"/>
      <c r="K29" s="497"/>
      <c r="L29" s="497"/>
      <c r="M29" s="497"/>
      <c r="N29" s="536">
        <f>SUM(N22:N28)</f>
        <v>1</v>
      </c>
      <c r="O29" s="78"/>
    </row>
    <row r="30" spans="1:15" ht="18">
      <c r="A30" s="501"/>
      <c r="B30" s="78"/>
      <c r="C30" s="518"/>
      <c r="D30" s="527"/>
      <c r="E30" s="166"/>
      <c r="F30" s="78"/>
      <c r="G30" s="166"/>
      <c r="H30" s="78"/>
      <c r="I30" s="78"/>
      <c r="J30" s="166"/>
      <c r="K30" s="78"/>
      <c r="L30" s="78"/>
      <c r="M30" s="78"/>
      <c r="N30" s="535"/>
      <c r="O30" s="78"/>
    </row>
    <row r="31" spans="1:15" ht="18">
      <c r="A31" s="496" t="s">
        <v>168</v>
      </c>
      <c r="B31" s="78"/>
      <c r="C31" s="521"/>
      <c r="D31" s="640"/>
      <c r="E31" s="641"/>
      <c r="F31" s="524"/>
      <c r="G31" s="531"/>
      <c r="H31" s="524"/>
      <c r="I31" s="163"/>
      <c r="J31" s="531"/>
      <c r="K31" s="524"/>
      <c r="L31" s="163"/>
      <c r="M31" s="507"/>
      <c r="N31" s="534">
        <v>0.2</v>
      </c>
      <c r="O31" s="78"/>
    </row>
    <row r="32" spans="1:15" ht="18">
      <c r="A32" s="496"/>
      <c r="B32" s="78"/>
      <c r="C32" s="518"/>
      <c r="D32" s="527"/>
      <c r="E32" s="166"/>
      <c r="F32" s="78"/>
      <c r="G32" s="166"/>
      <c r="H32" s="78"/>
      <c r="I32" s="78"/>
      <c r="J32" s="166"/>
      <c r="K32" s="78"/>
      <c r="L32" s="78"/>
      <c r="M32" s="78"/>
      <c r="N32" s="535"/>
      <c r="O32" s="78"/>
    </row>
    <row r="33" spans="1:15" ht="18">
      <c r="A33" s="496" t="s">
        <v>169</v>
      </c>
      <c r="B33" s="78"/>
      <c r="C33" s="520"/>
      <c r="D33" s="528"/>
      <c r="E33" s="529"/>
      <c r="F33" s="497"/>
      <c r="G33" s="529"/>
      <c r="H33" s="497"/>
      <c r="I33" s="497"/>
      <c r="J33" s="529"/>
      <c r="K33" s="497"/>
      <c r="L33" s="497"/>
      <c r="M33" s="497"/>
      <c r="N33" s="534">
        <v>0</v>
      </c>
      <c r="O33" s="78"/>
    </row>
    <row r="34" spans="1:15" ht="18">
      <c r="A34" s="496"/>
      <c r="B34" s="78"/>
      <c r="C34" s="518"/>
      <c r="D34" s="527"/>
      <c r="E34" s="166"/>
      <c r="F34" s="78"/>
      <c r="G34" s="166"/>
      <c r="H34" s="78"/>
      <c r="I34" s="78"/>
      <c r="J34" s="166"/>
      <c r="K34" s="78"/>
      <c r="L34" s="78"/>
      <c r="M34" s="78"/>
      <c r="N34" s="535"/>
      <c r="O34" s="78"/>
    </row>
    <row r="35" spans="1:15" ht="18">
      <c r="A35" s="496" t="s">
        <v>170</v>
      </c>
      <c r="B35" s="78"/>
      <c r="C35" s="521"/>
      <c r="D35" s="640"/>
      <c r="E35" s="641"/>
      <c r="F35" s="524"/>
      <c r="G35" s="531"/>
      <c r="H35" s="524"/>
      <c r="I35" s="163"/>
      <c r="J35" s="531"/>
      <c r="K35" s="524"/>
      <c r="L35" s="163"/>
      <c r="M35" s="507"/>
      <c r="N35" s="534">
        <v>0.1</v>
      </c>
      <c r="O35" s="78"/>
    </row>
    <row r="36" spans="1:15" ht="18">
      <c r="A36" s="496"/>
      <c r="B36" s="78"/>
      <c r="C36" s="518"/>
      <c r="D36" s="527"/>
      <c r="E36" s="166"/>
      <c r="F36" s="78"/>
      <c r="G36" s="166"/>
      <c r="H36" s="78"/>
      <c r="I36" s="78"/>
      <c r="J36" s="166"/>
      <c r="K36" s="78"/>
      <c r="L36" s="78"/>
      <c r="M36" s="78"/>
      <c r="N36" s="535"/>
      <c r="O36" s="78"/>
    </row>
    <row r="37" spans="1:15" ht="18">
      <c r="A37" s="496" t="s">
        <v>171</v>
      </c>
      <c r="B37" s="78"/>
      <c r="C37" s="521"/>
      <c r="D37" s="640"/>
      <c r="E37" s="641"/>
      <c r="F37" s="524"/>
      <c r="G37" s="531"/>
      <c r="H37" s="524"/>
      <c r="I37" s="163"/>
      <c r="J37" s="531"/>
      <c r="K37" s="524"/>
      <c r="L37" s="163"/>
      <c r="M37" s="507"/>
      <c r="N37" s="534">
        <v>0</v>
      </c>
      <c r="O37" s="78"/>
    </row>
    <row r="38" spans="1:15" ht="18">
      <c r="A38" s="496"/>
      <c r="B38" s="78"/>
      <c r="C38" s="518"/>
      <c r="D38" s="527"/>
      <c r="E38" s="166"/>
      <c r="F38" s="78"/>
      <c r="G38" s="166"/>
      <c r="H38" s="78"/>
      <c r="I38" s="78"/>
      <c r="J38" s="166"/>
      <c r="K38" s="78"/>
      <c r="L38" s="78"/>
      <c r="M38" s="78"/>
      <c r="N38" s="535"/>
      <c r="O38" s="78"/>
    </row>
    <row r="39" spans="1:15" ht="18">
      <c r="A39" s="496" t="s">
        <v>175</v>
      </c>
      <c r="B39" s="78"/>
      <c r="C39" s="521"/>
      <c r="D39" s="640"/>
      <c r="E39" s="641"/>
      <c r="F39" s="524"/>
      <c r="G39" s="531"/>
      <c r="H39" s="524"/>
      <c r="I39" s="163"/>
      <c r="J39" s="531"/>
      <c r="K39" s="524"/>
      <c r="L39" s="163"/>
      <c r="M39" s="507"/>
      <c r="N39" s="534">
        <v>1</v>
      </c>
      <c r="O39" s="78"/>
    </row>
    <row r="40" spans="1:15" ht="18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508"/>
      <c r="O40" s="149"/>
    </row>
    <row r="41" spans="1:15" ht="23.25">
      <c r="A41" s="118" t="s">
        <v>36</v>
      </c>
      <c r="B41" s="78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508"/>
      <c r="O41" s="149"/>
    </row>
    <row r="42" spans="1:15" ht="18">
      <c r="A42" s="501" t="s">
        <v>172</v>
      </c>
      <c r="B42" s="78"/>
      <c r="C42" s="521"/>
      <c r="D42" s="640"/>
      <c r="E42" s="641"/>
      <c r="F42" s="524"/>
      <c r="G42" s="531"/>
      <c r="H42" s="524"/>
      <c r="I42" s="163"/>
      <c r="J42" s="531"/>
      <c r="K42" s="524"/>
      <c r="L42" s="163"/>
      <c r="M42" s="507"/>
      <c r="N42" s="534">
        <v>0</v>
      </c>
      <c r="O42" s="78"/>
    </row>
    <row r="43" spans="1:15" ht="18">
      <c r="A43" s="501" t="s">
        <v>173</v>
      </c>
      <c r="B43" s="78"/>
      <c r="C43" s="521"/>
      <c r="D43" s="640"/>
      <c r="E43" s="641"/>
      <c r="F43" s="524"/>
      <c r="G43" s="531"/>
      <c r="H43" s="524"/>
      <c r="I43" s="163"/>
      <c r="J43" s="531"/>
      <c r="K43" s="524"/>
      <c r="L43" s="163"/>
      <c r="M43" s="507"/>
      <c r="N43" s="534">
        <v>0</v>
      </c>
      <c r="O43" s="78"/>
    </row>
    <row r="44" spans="1:15" ht="18">
      <c r="A44" s="501" t="s">
        <v>174</v>
      </c>
      <c r="B44" s="78"/>
      <c r="C44" s="521"/>
      <c r="D44" s="640"/>
      <c r="E44" s="641"/>
      <c r="F44" s="524"/>
      <c r="G44" s="531"/>
      <c r="H44" s="524"/>
      <c r="I44" s="163"/>
      <c r="J44" s="531"/>
      <c r="K44" s="524"/>
      <c r="L44" s="163"/>
      <c r="M44" s="507"/>
      <c r="N44" s="534">
        <v>0</v>
      </c>
      <c r="O44" s="78"/>
    </row>
    <row r="45" spans="1:15" ht="18.75" thickBot="1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508"/>
      <c r="O45" s="149"/>
    </row>
    <row r="46" spans="1:15" ht="21" thickBot="1">
      <c r="A46" s="21" t="s">
        <v>145</v>
      </c>
      <c r="B46" s="78"/>
      <c r="C46" s="517">
        <f>SUM(C42:C45)+SUM(C31:C39)+C29+C19+C16+C11</f>
        <v>0.34850116130563846</v>
      </c>
      <c r="D46" s="642">
        <f aca="true" t="shared" si="0" ref="D46:M46">SUM(D42:D45)+SUM(D31:D39)+D29+D19+D16+D11</f>
        <v>0.11137468356357311</v>
      </c>
      <c r="E46" s="643">
        <f t="shared" si="0"/>
        <v>0</v>
      </c>
      <c r="F46" s="523">
        <f t="shared" si="0"/>
        <v>1.0560850373294959</v>
      </c>
      <c r="G46" s="530">
        <f t="shared" si="0"/>
        <v>0.8990639860375956</v>
      </c>
      <c r="H46" s="523">
        <f t="shared" si="0"/>
        <v>0.15715700383452397</v>
      </c>
      <c r="I46" s="511">
        <f>SUM(I42:I45)+SUM(I31:I39)+I29+I19+I11</f>
        <v>0.015577680121549172</v>
      </c>
      <c r="J46" s="530">
        <f t="shared" si="0"/>
        <v>0.274844348203285</v>
      </c>
      <c r="K46" s="523">
        <f t="shared" si="0"/>
        <v>1.4315084243023</v>
      </c>
      <c r="L46" s="511">
        <f>SUM(L42:L45)+SUM(L31:L39)+L29+L19+L11</f>
        <v>0.014273678164452033</v>
      </c>
      <c r="M46" s="533">
        <f t="shared" si="0"/>
        <v>2.2781164362206336</v>
      </c>
      <c r="N46" s="504">
        <f>SUM(N42:N45)+SUM(N31:N39)+N29+N19+N16+N11</f>
        <v>13.476502439083047</v>
      </c>
      <c r="O46" s="78"/>
    </row>
    <row r="47" spans="1:15" ht="18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508"/>
      <c r="O47" s="149"/>
    </row>
    <row r="48" spans="1:15" ht="18">
      <c r="A48" s="78"/>
      <c r="B48" s="78"/>
      <c r="C48" s="78"/>
      <c r="D48" s="78"/>
      <c r="E48" s="500"/>
      <c r="F48" s="503">
        <f>F11*'Long-Hole'!$E$302/'Long-Hole'!I301</f>
        <v>4.448230177231836</v>
      </c>
      <c r="G48" s="559" t="s">
        <v>176</v>
      </c>
      <c r="H48" s="503">
        <f>H11*'Long-Hole'!$E$302/('Long-Hole'!C299+'Long-Hole'!D299)</f>
        <v>6.288480351434641</v>
      </c>
      <c r="I48" s="559" t="s">
        <v>333</v>
      </c>
      <c r="J48" s="500"/>
      <c r="K48" s="503">
        <f>K11*'Long-Hole'!$E$302/'Long-Hole'!C300</f>
        <v>5.0245945693010725</v>
      </c>
      <c r="L48" s="559" t="s">
        <v>334</v>
      </c>
      <c r="M48" s="539"/>
      <c r="O48" s="78"/>
    </row>
    <row r="50" spans="10:11" ht="18">
      <c r="J50" s="503">
        <f>+(H11+K11+L11+I11)*'Long-Hole'!E302/('Long-Hole'!C299+'Long-Hole'!D299+'Long-Hole'!C300)</f>
        <v>5.222849249348623</v>
      </c>
      <c r="K50" s="559" t="s">
        <v>335</v>
      </c>
    </row>
    <row r="55" ht="18">
      <c r="H55" s="509" t="s">
        <v>37</v>
      </c>
    </row>
  </sheetData>
  <mergeCells count="22">
    <mergeCell ref="K5:M5"/>
    <mergeCell ref="D10:E10"/>
    <mergeCell ref="D11:E11"/>
    <mergeCell ref="D6:E6"/>
    <mergeCell ref="D5:E5"/>
    <mergeCell ref="F5:G5"/>
    <mergeCell ref="H5:J5"/>
    <mergeCell ref="D22:E22"/>
    <mergeCell ref="D23:E23"/>
    <mergeCell ref="D29:E29"/>
    <mergeCell ref="D27:E27"/>
    <mergeCell ref="D24:E24"/>
    <mergeCell ref="D25:E25"/>
    <mergeCell ref="D26:E26"/>
    <mergeCell ref="D31:E31"/>
    <mergeCell ref="D35:E35"/>
    <mergeCell ref="D44:E44"/>
    <mergeCell ref="D46:E46"/>
    <mergeCell ref="D37:E37"/>
    <mergeCell ref="D39:E39"/>
    <mergeCell ref="D42:E42"/>
    <mergeCell ref="D43:E43"/>
  </mergeCells>
  <printOptions/>
  <pageMargins left="0.75" right="0.75" top="1" bottom="1" header="0.4921259845" footer="0.4921259845"/>
  <pageSetup fitToHeight="1" fitToWidth="1" horizontalDpi="600" verticalDpi="600" orientation="landscape" scale="47" r:id="rId2"/>
  <headerFooter alignWithMargins="0">
    <oddFooter>&amp;LFile:  &amp;F
Sheet:  &amp;A
Page &amp;P of &amp;N&amp;CExperimental Mine
Val-d'Or&amp;R&amp;D
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26"/>
  <sheetViews>
    <sheetView tabSelected="1" zoomScale="75" zoomScaleNormal="75" workbookViewId="0" topLeftCell="A1">
      <pane ySplit="8520" topLeftCell="BM305" activePane="topLeft" state="split"/>
      <selection pane="topLeft" activeCell="A2" sqref="A2"/>
      <selection pane="bottomLeft" activeCell="A305" sqref="A305"/>
    </sheetView>
  </sheetViews>
  <sheetFormatPr defaultColWidth="9.140625" defaultRowHeight="12.75"/>
  <cols>
    <col min="1" max="1" width="26.8515625" style="0" customWidth="1"/>
    <col min="2" max="2" width="18.140625" style="0" customWidth="1"/>
    <col min="3" max="3" width="15.00390625" style="0" customWidth="1"/>
    <col min="4" max="4" width="13.8515625" style="0" customWidth="1"/>
    <col min="5" max="5" width="13.421875" style="0" customWidth="1"/>
    <col min="6" max="6" width="16.7109375" style="0" customWidth="1"/>
    <col min="7" max="7" width="16.140625" style="0" customWidth="1"/>
    <col min="8" max="8" width="17.28125" style="0" customWidth="1"/>
    <col min="9" max="9" width="15.57421875" style="0" customWidth="1"/>
    <col min="10" max="10" width="14.7109375" style="0" customWidth="1"/>
    <col min="11" max="11" width="17.8515625" style="0" customWidth="1"/>
    <col min="12" max="12" width="15.8515625" style="0" customWidth="1"/>
    <col min="13" max="13" width="16.8515625" style="0" customWidth="1"/>
    <col min="14" max="16384" width="11.421875" style="0" customWidth="1"/>
  </cols>
  <sheetData>
    <row r="2" spans="1:10" ht="36.75">
      <c r="A2" s="5" t="s">
        <v>157</v>
      </c>
      <c r="J2" s="5"/>
    </row>
    <row r="3" spans="1:11" ht="36.75">
      <c r="A3" s="5" t="s">
        <v>40</v>
      </c>
      <c r="B3" s="5"/>
      <c r="K3" s="22" t="s">
        <v>416</v>
      </c>
    </row>
    <row r="4" spans="1:2" ht="17.25" customHeight="1" thickBot="1">
      <c r="A4" s="5"/>
      <c r="B4" s="5"/>
    </row>
    <row r="5" spans="1:13" ht="13.5" thickTop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2" ht="22.5" customHeight="1">
      <c r="A8" s="28" t="s">
        <v>112</v>
      </c>
      <c r="B8" s="29"/>
    </row>
    <row r="9" spans="1:2" ht="9.75" customHeight="1" thickBot="1">
      <c r="A9" s="29"/>
      <c r="B9" s="29"/>
    </row>
    <row r="10" spans="1:11" ht="15" customHeight="1">
      <c r="A10" s="29"/>
      <c r="B10" s="29"/>
      <c r="C10" s="761" t="s">
        <v>41</v>
      </c>
      <c r="D10" s="763" t="s">
        <v>177</v>
      </c>
      <c r="E10" s="750" t="s">
        <v>42</v>
      </c>
      <c r="H10" s="765" t="s">
        <v>3</v>
      </c>
      <c r="I10" s="766"/>
      <c r="J10" s="766"/>
      <c r="K10" s="767"/>
    </row>
    <row r="11" spans="1:11" ht="15" customHeight="1" thickBot="1">
      <c r="A11" s="29"/>
      <c r="B11" s="29"/>
      <c r="C11" s="762"/>
      <c r="D11" s="764"/>
      <c r="E11" s="751"/>
      <c r="H11" s="768"/>
      <c r="I11" s="769"/>
      <c r="J11" s="769"/>
      <c r="K11" s="770"/>
    </row>
    <row r="12" spans="1:11" ht="15" customHeight="1">
      <c r="A12" s="30" t="s">
        <v>43</v>
      </c>
      <c r="B12" s="30"/>
      <c r="C12" s="327">
        <v>2</v>
      </c>
      <c r="D12" s="327">
        <v>8</v>
      </c>
      <c r="E12" s="31">
        <f>+D12*C12</f>
        <v>16</v>
      </c>
      <c r="H12" s="32"/>
      <c r="I12" s="33"/>
      <c r="J12" s="33"/>
      <c r="K12" s="34"/>
    </row>
    <row r="13" spans="1:11" ht="15" customHeight="1">
      <c r="A13" s="30" t="s">
        <v>113</v>
      </c>
      <c r="B13" s="30"/>
      <c r="C13" s="327">
        <v>2</v>
      </c>
      <c r="D13" s="327">
        <v>5</v>
      </c>
      <c r="E13" s="31">
        <f>+D13*C13</f>
        <v>10</v>
      </c>
      <c r="H13" s="35" t="s">
        <v>178</v>
      </c>
      <c r="I13" s="36"/>
      <c r="J13" s="36"/>
      <c r="K13" s="37"/>
    </row>
    <row r="14" spans="1:11" ht="15" customHeight="1">
      <c r="A14" s="30" t="s">
        <v>114</v>
      </c>
      <c r="B14" s="30"/>
      <c r="C14" s="327"/>
      <c r="D14" s="327"/>
      <c r="E14" s="31">
        <f aca="true" t="shared" si="0" ref="E14:E20">+D14*C14</f>
        <v>0</v>
      </c>
      <c r="F14" s="8"/>
      <c r="H14" s="35" t="s">
        <v>179</v>
      </c>
      <c r="I14" s="36"/>
      <c r="J14" s="36"/>
      <c r="K14" s="37"/>
    </row>
    <row r="15" spans="1:11" ht="15" customHeight="1">
      <c r="A15" s="30" t="s">
        <v>44</v>
      </c>
      <c r="B15" s="30"/>
      <c r="C15" s="327">
        <v>4</v>
      </c>
      <c r="D15" s="327">
        <v>8</v>
      </c>
      <c r="E15" s="31">
        <f t="shared" si="0"/>
        <v>32</v>
      </c>
      <c r="H15" s="35" t="s">
        <v>415</v>
      </c>
      <c r="I15" s="36"/>
      <c r="J15" s="36"/>
      <c r="K15" s="37"/>
    </row>
    <row r="16" spans="1:11" ht="15" customHeight="1">
      <c r="A16" s="30" t="s">
        <v>24</v>
      </c>
      <c r="B16" s="30"/>
      <c r="C16" s="327">
        <v>1</v>
      </c>
      <c r="D16" s="327">
        <v>15</v>
      </c>
      <c r="E16" s="31">
        <f t="shared" si="0"/>
        <v>15</v>
      </c>
      <c r="H16" s="35" t="s">
        <v>180</v>
      </c>
      <c r="I16" s="36"/>
      <c r="J16" s="36"/>
      <c r="K16" s="37"/>
    </row>
    <row r="17" spans="1:11" ht="15" customHeight="1">
      <c r="A17" s="30" t="s">
        <v>45</v>
      </c>
      <c r="B17" s="30"/>
      <c r="C17" s="327">
        <v>1</v>
      </c>
      <c r="D17" s="327">
        <v>10</v>
      </c>
      <c r="E17" s="31">
        <f t="shared" si="0"/>
        <v>10</v>
      </c>
      <c r="H17" s="35"/>
      <c r="I17" s="36"/>
      <c r="J17" s="36"/>
      <c r="K17" s="37"/>
    </row>
    <row r="18" spans="1:11" ht="15" customHeight="1">
      <c r="A18" s="30" t="s">
        <v>115</v>
      </c>
      <c r="B18" s="30"/>
      <c r="C18" s="327">
        <v>1</v>
      </c>
      <c r="D18" s="327">
        <v>15</v>
      </c>
      <c r="E18" s="31">
        <f t="shared" si="0"/>
        <v>15</v>
      </c>
      <c r="H18" s="35"/>
      <c r="I18" s="36"/>
      <c r="J18" s="36"/>
      <c r="K18" s="37"/>
    </row>
    <row r="19" spans="1:11" ht="15" customHeight="1">
      <c r="A19" s="30" t="s">
        <v>0</v>
      </c>
      <c r="B19" s="30"/>
      <c r="C19" s="327">
        <v>1</v>
      </c>
      <c r="D19" s="327">
        <v>30</v>
      </c>
      <c r="E19" s="31">
        <f t="shared" si="0"/>
        <v>30</v>
      </c>
      <c r="H19" s="35"/>
      <c r="I19" s="36"/>
      <c r="J19" s="36"/>
      <c r="K19" s="37"/>
    </row>
    <row r="20" spans="1:11" ht="15" customHeight="1" thickBot="1">
      <c r="A20" s="551"/>
      <c r="B20" s="326"/>
      <c r="C20" s="327"/>
      <c r="D20" s="327"/>
      <c r="E20" s="38">
        <f t="shared" si="0"/>
        <v>0</v>
      </c>
      <c r="H20" s="35"/>
      <c r="I20" s="36"/>
      <c r="J20" s="36"/>
      <c r="K20" s="37"/>
    </row>
    <row r="21" spans="1:11" ht="15" customHeight="1" thickBot="1">
      <c r="A21" s="39"/>
      <c r="B21" s="39"/>
      <c r="C21" s="39"/>
      <c r="D21" s="39"/>
      <c r="E21" s="40">
        <f>SUM(E12:E20)</f>
        <v>128</v>
      </c>
      <c r="F21" s="22" t="s">
        <v>23</v>
      </c>
      <c r="H21" s="41"/>
      <c r="I21" s="42"/>
      <c r="J21" s="42"/>
      <c r="K21" s="43"/>
    </row>
    <row r="22" spans="1:6" ht="15" customHeight="1">
      <c r="A22" s="39"/>
      <c r="B22" s="39"/>
      <c r="C22" s="39"/>
      <c r="D22" s="39"/>
      <c r="E22" s="44">
        <f>ROUND(+E21/60,2)</f>
        <v>2.13</v>
      </c>
      <c r="F22" s="22" t="s">
        <v>46</v>
      </c>
    </row>
    <row r="23" spans="1:5" ht="14.25">
      <c r="A23" s="39"/>
      <c r="B23" s="39"/>
      <c r="C23" s="39"/>
      <c r="D23" s="39"/>
      <c r="E23" s="39"/>
    </row>
    <row r="24" spans="1:13" ht="15" thickBot="1">
      <c r="A24" s="45"/>
      <c r="B24" s="45"/>
      <c r="C24" s="45"/>
      <c r="D24" s="45"/>
      <c r="E24" s="45"/>
      <c r="F24" s="13"/>
      <c r="G24" s="13"/>
      <c r="H24" s="13"/>
      <c r="I24" s="13"/>
      <c r="J24" s="13"/>
      <c r="K24" s="13"/>
      <c r="L24" s="13"/>
      <c r="M24" s="13"/>
    </row>
    <row r="25" spans="1:4" ht="12.75">
      <c r="A25" s="1"/>
      <c r="B25" s="1"/>
      <c r="C25" s="1"/>
      <c r="D25" s="1"/>
    </row>
    <row r="26" spans="1:5" ht="23.25">
      <c r="A26" s="28" t="s">
        <v>193</v>
      </c>
      <c r="B26" s="29"/>
      <c r="C26" s="1"/>
      <c r="D26" s="1"/>
      <c r="E26" s="1"/>
    </row>
    <row r="27" spans="1:5" ht="21" thickBot="1">
      <c r="A27" s="29"/>
      <c r="B27" s="29"/>
      <c r="C27" s="1"/>
      <c r="D27" s="1"/>
      <c r="E27" s="1"/>
    </row>
    <row r="28" spans="1:12" ht="22.5" customHeight="1">
      <c r="A28" s="553" t="s">
        <v>47</v>
      </c>
      <c r="C28" s="761" t="s">
        <v>41</v>
      </c>
      <c r="D28" s="763" t="s">
        <v>177</v>
      </c>
      <c r="E28" s="750" t="s">
        <v>42</v>
      </c>
      <c r="G28" s="29"/>
      <c r="H28" s="29"/>
      <c r="J28" s="761" t="s">
        <v>41</v>
      </c>
      <c r="K28" s="763" t="s">
        <v>177</v>
      </c>
      <c r="L28" s="750" t="s">
        <v>42</v>
      </c>
    </row>
    <row r="29" spans="1:12" ht="18.75" thickBot="1">
      <c r="A29" s="49" t="s">
        <v>38</v>
      </c>
      <c r="C29" s="762"/>
      <c r="D29" s="764"/>
      <c r="E29" s="751"/>
      <c r="G29" s="46" t="s">
        <v>188</v>
      </c>
      <c r="H29" s="47"/>
      <c r="J29" s="762"/>
      <c r="K29" s="764"/>
      <c r="L29" s="751"/>
    </row>
    <row r="30" spans="1:13" ht="14.25">
      <c r="A30" s="30" t="s">
        <v>181</v>
      </c>
      <c r="B30" s="22"/>
      <c r="C30" s="327">
        <v>1</v>
      </c>
      <c r="D30" s="327">
        <v>30</v>
      </c>
      <c r="E30" s="31">
        <f>+D30*C30</f>
        <v>30</v>
      </c>
      <c r="G30" s="560" t="s">
        <v>181</v>
      </c>
      <c r="H30" s="30"/>
      <c r="J30" s="327">
        <v>1</v>
      </c>
      <c r="K30" s="327">
        <v>6</v>
      </c>
      <c r="L30" s="31">
        <f aca="true" t="shared" si="1" ref="L30:L39">+K30*J30</f>
        <v>6</v>
      </c>
      <c r="M30" s="22"/>
    </row>
    <row r="31" spans="1:13" ht="14.25">
      <c r="A31" s="30" t="s">
        <v>182</v>
      </c>
      <c r="B31" s="22"/>
      <c r="C31" s="327">
        <v>1</v>
      </c>
      <c r="D31" s="327">
        <v>30</v>
      </c>
      <c r="E31" s="31">
        <f>+D31*C31</f>
        <v>30</v>
      </c>
      <c r="G31" s="560" t="s">
        <v>189</v>
      </c>
      <c r="H31" s="30"/>
      <c r="J31" s="327">
        <v>1</v>
      </c>
      <c r="K31" s="327">
        <v>60</v>
      </c>
      <c r="L31" s="31">
        <f t="shared" si="1"/>
        <v>60</v>
      </c>
      <c r="M31" s="22"/>
    </row>
    <row r="32" spans="1:13" ht="14.25">
      <c r="A32" s="331"/>
      <c r="B32" s="332"/>
      <c r="C32" s="327"/>
      <c r="D32" s="327"/>
      <c r="E32" s="31">
        <f>+D32*C32</f>
        <v>0</v>
      </c>
      <c r="G32" s="560" t="s">
        <v>146</v>
      </c>
      <c r="H32" s="30"/>
      <c r="J32" s="327">
        <v>1</v>
      </c>
      <c r="K32" s="327">
        <v>20</v>
      </c>
      <c r="L32" s="31">
        <f t="shared" si="1"/>
        <v>20</v>
      </c>
      <c r="M32" s="22"/>
    </row>
    <row r="33" spans="1:13" ht="15" thickBot="1">
      <c r="A33" s="331"/>
      <c r="B33" s="332"/>
      <c r="C33" s="327"/>
      <c r="D33" s="327"/>
      <c r="E33" s="31">
        <f>+D33*C33</f>
        <v>0</v>
      </c>
      <c r="G33" s="560" t="s">
        <v>116</v>
      </c>
      <c r="H33" s="30"/>
      <c r="J33" s="327">
        <v>1</v>
      </c>
      <c r="K33" s="327">
        <v>15</v>
      </c>
      <c r="L33" s="31">
        <f t="shared" si="1"/>
        <v>15</v>
      </c>
      <c r="M33" s="22"/>
    </row>
    <row r="34" spans="1:13" ht="15" thickBot="1">
      <c r="A34" s="50"/>
      <c r="B34" s="22"/>
      <c r="C34" s="39"/>
      <c r="D34" s="48" t="s">
        <v>183</v>
      </c>
      <c r="E34" s="40">
        <f>SUM(E30:E33)</f>
        <v>60</v>
      </c>
      <c r="G34" s="560" t="s">
        <v>117</v>
      </c>
      <c r="H34" s="30"/>
      <c r="J34" s="327">
        <v>1</v>
      </c>
      <c r="K34" s="327">
        <v>5</v>
      </c>
      <c r="L34" s="31">
        <f t="shared" si="1"/>
        <v>5</v>
      </c>
      <c r="M34" s="22"/>
    </row>
    <row r="35" spans="1:13" ht="14.25">
      <c r="A35" s="22"/>
      <c r="B35" s="22"/>
      <c r="C35" s="22"/>
      <c r="D35" s="48" t="s">
        <v>184</v>
      </c>
      <c r="E35" s="44">
        <f>+E34/60</f>
        <v>1</v>
      </c>
      <c r="G35" s="560" t="s">
        <v>118</v>
      </c>
      <c r="H35" s="30"/>
      <c r="J35" s="327">
        <v>1</v>
      </c>
      <c r="K35" s="327">
        <v>8</v>
      </c>
      <c r="L35" s="31">
        <f t="shared" si="1"/>
        <v>8</v>
      </c>
      <c r="M35" s="22"/>
    </row>
    <row r="36" spans="7:13" ht="15" thickBot="1">
      <c r="G36" s="560" t="s">
        <v>192</v>
      </c>
      <c r="H36" s="30"/>
      <c r="J36" s="327">
        <v>1</v>
      </c>
      <c r="K36" s="327">
        <v>15</v>
      </c>
      <c r="L36" s="31">
        <f t="shared" si="1"/>
        <v>15</v>
      </c>
      <c r="M36" s="22"/>
    </row>
    <row r="37" spans="1:13" ht="18" customHeight="1">
      <c r="A37" s="49" t="s">
        <v>412</v>
      </c>
      <c r="C37" s="761" t="s">
        <v>41</v>
      </c>
      <c r="D37" s="763" t="s">
        <v>177</v>
      </c>
      <c r="E37" s="750" t="s">
        <v>42</v>
      </c>
      <c r="G37" s="560" t="s">
        <v>190</v>
      </c>
      <c r="H37" s="30"/>
      <c r="J37" s="327">
        <f>+J36</f>
        <v>1</v>
      </c>
      <c r="K37" s="327">
        <v>5</v>
      </c>
      <c r="L37" s="31">
        <f t="shared" si="1"/>
        <v>5</v>
      </c>
      <c r="M37" s="22"/>
    </row>
    <row r="38" spans="1:13" ht="18" customHeight="1" thickBot="1">
      <c r="A38" s="49" t="s">
        <v>21</v>
      </c>
      <c r="C38" s="762"/>
      <c r="D38" s="764"/>
      <c r="E38" s="751"/>
      <c r="G38" s="560" t="s">
        <v>191</v>
      </c>
      <c r="H38" s="30"/>
      <c r="J38" s="327">
        <f>+J37</f>
        <v>1</v>
      </c>
      <c r="K38" s="327">
        <v>15</v>
      </c>
      <c r="L38" s="31">
        <f t="shared" si="1"/>
        <v>15</v>
      </c>
      <c r="M38" s="22"/>
    </row>
    <row r="39" spans="1:13" ht="15.75" customHeight="1">
      <c r="A39" s="30" t="s">
        <v>181</v>
      </c>
      <c r="B39" s="22"/>
      <c r="C39" s="327">
        <v>1</v>
      </c>
      <c r="D39" s="327">
        <v>60</v>
      </c>
      <c r="E39" s="31">
        <f>+D39*C39</f>
        <v>60</v>
      </c>
      <c r="G39" s="561"/>
      <c r="H39" s="331"/>
      <c r="I39" s="331"/>
      <c r="J39" s="327"/>
      <c r="K39" s="327"/>
      <c r="L39" s="31">
        <f t="shared" si="1"/>
        <v>0</v>
      </c>
      <c r="M39" s="22"/>
    </row>
    <row r="40" spans="1:13" ht="14.25">
      <c r="A40" s="30" t="s">
        <v>48</v>
      </c>
      <c r="B40" s="22"/>
      <c r="C40" s="327">
        <v>1</v>
      </c>
      <c r="D40" s="327">
        <v>40</v>
      </c>
      <c r="E40" s="31">
        <f>+D40*C40</f>
        <v>40</v>
      </c>
      <c r="G40" s="561"/>
      <c r="H40" s="331"/>
      <c r="I40" s="331"/>
      <c r="J40" s="327"/>
      <c r="K40" s="327"/>
      <c r="L40" s="31">
        <f>+K40*J40</f>
        <v>0</v>
      </c>
      <c r="M40" s="22"/>
    </row>
    <row r="41" spans="1:12" ht="14.25">
      <c r="A41" s="30" t="s">
        <v>182</v>
      </c>
      <c r="B41" s="22"/>
      <c r="C41" s="327">
        <v>1</v>
      </c>
      <c r="D41" s="327">
        <v>30</v>
      </c>
      <c r="E41" s="31">
        <f>+D41*C41</f>
        <v>30</v>
      </c>
      <c r="G41" s="561"/>
      <c r="H41" s="331"/>
      <c r="I41" s="331"/>
      <c r="J41" s="327"/>
      <c r="K41" s="327"/>
      <c r="L41" s="31">
        <f>+K41</f>
        <v>0</v>
      </c>
    </row>
    <row r="42" spans="1:13" ht="14.25">
      <c r="A42" s="331"/>
      <c r="B42" s="332"/>
      <c r="C42" s="327"/>
      <c r="D42" s="327"/>
      <c r="E42" s="31">
        <f>+D42*C42</f>
        <v>0</v>
      </c>
      <c r="G42" s="561"/>
      <c r="H42" s="331"/>
      <c r="I42" s="331"/>
      <c r="J42" s="327"/>
      <c r="K42" s="327"/>
      <c r="L42" s="31">
        <f>+K42*J42</f>
        <v>0</v>
      </c>
      <c r="M42" s="22"/>
    </row>
    <row r="43" spans="1:13" ht="15" thickBot="1">
      <c r="A43" s="331"/>
      <c r="B43" s="332"/>
      <c r="C43" s="327"/>
      <c r="D43" s="327"/>
      <c r="E43" s="31">
        <f>+D43*C43</f>
        <v>0</v>
      </c>
      <c r="G43" s="561"/>
      <c r="H43" s="331"/>
      <c r="I43" s="331"/>
      <c r="J43" s="327"/>
      <c r="K43" s="327"/>
      <c r="L43" s="31">
        <f>+K43*J43</f>
        <v>0</v>
      </c>
      <c r="M43" s="22"/>
    </row>
    <row r="44" spans="1:12" ht="15" thickBot="1">
      <c r="A44" s="50"/>
      <c r="B44" s="22"/>
      <c r="C44" s="39"/>
      <c r="D44" s="48" t="s">
        <v>183</v>
      </c>
      <c r="E44" s="40">
        <f>SUM(E39:E43)</f>
        <v>130</v>
      </c>
      <c r="G44" s="50"/>
      <c r="H44" s="50"/>
      <c r="J44" s="39"/>
      <c r="K44" s="48" t="s">
        <v>128</v>
      </c>
      <c r="L44" s="40">
        <f>SUM(L30:L43)</f>
        <v>149</v>
      </c>
    </row>
    <row r="45" spans="1:18" ht="14.25">
      <c r="A45" s="22"/>
      <c r="B45" s="22"/>
      <c r="C45" s="22"/>
      <c r="D45" s="48" t="s">
        <v>184</v>
      </c>
      <c r="E45" s="44">
        <f>ROUND(+E44/60,2)</f>
        <v>2.17</v>
      </c>
      <c r="G45" s="50"/>
      <c r="H45" s="50"/>
      <c r="K45" s="48" t="s">
        <v>129</v>
      </c>
      <c r="L45" s="44">
        <f>ROUND(+L44/60,2)</f>
        <v>2.48</v>
      </c>
      <c r="Q45" s="39"/>
      <c r="R45" s="39"/>
    </row>
    <row r="47" spans="18:21" ht="14.25">
      <c r="R47" s="22"/>
      <c r="S47" s="22"/>
      <c r="T47" s="22"/>
      <c r="U47" s="48"/>
    </row>
    <row r="48" spans="1:10" ht="23.25">
      <c r="A48" s="28" t="s">
        <v>194</v>
      </c>
      <c r="G48" s="22"/>
      <c r="H48" s="22"/>
      <c r="I48" s="22"/>
      <c r="J48" s="48"/>
    </row>
    <row r="50" ht="13.5" thickBot="1"/>
    <row r="51" spans="1:11" ht="20.25" customHeight="1">
      <c r="A51" s="46" t="s">
        <v>147</v>
      </c>
      <c r="B51" s="29"/>
      <c r="C51" s="761" t="s">
        <v>41</v>
      </c>
      <c r="D51" s="763" t="s">
        <v>177</v>
      </c>
      <c r="E51" s="750" t="s">
        <v>42</v>
      </c>
      <c r="G51" s="49" t="s">
        <v>49</v>
      </c>
      <c r="I51" s="761" t="s">
        <v>212</v>
      </c>
      <c r="J51" s="763" t="s">
        <v>177</v>
      </c>
      <c r="K51" s="750" t="s">
        <v>42</v>
      </c>
    </row>
    <row r="52" spans="1:11" ht="18.75" thickBot="1">
      <c r="A52" s="46" t="s">
        <v>148</v>
      </c>
      <c r="B52" s="47"/>
      <c r="C52" s="762"/>
      <c r="D52" s="764"/>
      <c r="E52" s="751"/>
      <c r="G52" s="49" t="s">
        <v>50</v>
      </c>
      <c r="I52" s="762"/>
      <c r="J52" s="764"/>
      <c r="K52" s="751"/>
    </row>
    <row r="53" spans="1:12" ht="12.75" customHeight="1">
      <c r="A53" s="30" t="s">
        <v>211</v>
      </c>
      <c r="B53" s="30"/>
      <c r="C53" s="327">
        <v>3</v>
      </c>
      <c r="D53" s="327">
        <v>80</v>
      </c>
      <c r="E53" s="31">
        <f aca="true" t="shared" si="2" ref="E53:E61">+D53*C53</f>
        <v>240</v>
      </c>
      <c r="G53" s="746" t="s">
        <v>119</v>
      </c>
      <c r="H53" s="747"/>
      <c r="I53" s="328">
        <v>1</v>
      </c>
      <c r="J53" s="327">
        <v>15</v>
      </c>
      <c r="K53" s="31">
        <f>+J53*I53</f>
        <v>15</v>
      </c>
      <c r="L53" s="22"/>
    </row>
    <row r="54" spans="1:12" ht="14.25">
      <c r="A54" s="30" t="s">
        <v>125</v>
      </c>
      <c r="B54" s="30"/>
      <c r="C54" s="327">
        <v>3</v>
      </c>
      <c r="D54" s="327">
        <v>60</v>
      </c>
      <c r="E54" s="31">
        <f t="shared" si="2"/>
        <v>180</v>
      </c>
      <c r="G54" s="746" t="s">
        <v>51</v>
      </c>
      <c r="H54" s="747"/>
      <c r="I54" s="328">
        <v>3</v>
      </c>
      <c r="J54" s="327">
        <v>10</v>
      </c>
      <c r="K54" s="31">
        <f>+J54*I54</f>
        <v>30</v>
      </c>
      <c r="L54" s="22"/>
    </row>
    <row r="55" spans="1:12" ht="14.25">
      <c r="A55" s="30" t="s">
        <v>52</v>
      </c>
      <c r="B55" s="30"/>
      <c r="C55" s="327">
        <v>3</v>
      </c>
      <c r="D55" s="327">
        <v>20</v>
      </c>
      <c r="E55" s="31">
        <f t="shared" si="2"/>
        <v>60</v>
      </c>
      <c r="G55" s="746" t="s">
        <v>149</v>
      </c>
      <c r="H55" s="747"/>
      <c r="I55" s="329">
        <v>4</v>
      </c>
      <c r="J55" s="327">
        <v>20</v>
      </c>
      <c r="K55" s="31">
        <f>+J55*I55</f>
        <v>80</v>
      </c>
      <c r="L55" s="22"/>
    </row>
    <row r="56" spans="1:12" ht="14.25">
      <c r="A56" s="30" t="s">
        <v>53</v>
      </c>
      <c r="B56" s="30"/>
      <c r="C56" s="327">
        <v>3</v>
      </c>
      <c r="D56" s="327">
        <v>60</v>
      </c>
      <c r="E56" s="31">
        <f t="shared" si="2"/>
        <v>180</v>
      </c>
      <c r="G56" s="804" t="s">
        <v>383</v>
      </c>
      <c r="H56" s="805"/>
      <c r="I56" s="327">
        <v>0</v>
      </c>
      <c r="J56" s="327">
        <v>20</v>
      </c>
      <c r="K56" s="31">
        <f>+J56</f>
        <v>20</v>
      </c>
      <c r="L56" s="22"/>
    </row>
    <row r="57" spans="1:11" ht="14.25">
      <c r="A57" s="30" t="s">
        <v>398</v>
      </c>
      <c r="B57" s="30"/>
      <c r="C57" s="327">
        <v>3</v>
      </c>
      <c r="D57" s="327">
        <v>60</v>
      </c>
      <c r="E57" s="31">
        <f t="shared" si="2"/>
        <v>180</v>
      </c>
      <c r="G57" s="744"/>
      <c r="H57" s="745"/>
      <c r="I57" s="327"/>
      <c r="J57" s="327"/>
      <c r="K57" s="38">
        <f>+J57*I57</f>
        <v>0</v>
      </c>
    </row>
    <row r="58" spans="1:11" ht="15" thickBot="1">
      <c r="A58" s="30" t="s">
        <v>414</v>
      </c>
      <c r="B58" s="30"/>
      <c r="C58" s="327">
        <v>3</v>
      </c>
      <c r="D58" s="327">
        <f>3*60</f>
        <v>180</v>
      </c>
      <c r="E58" s="31">
        <f t="shared" si="2"/>
        <v>540</v>
      </c>
      <c r="F58" s="22"/>
      <c r="G58" s="744"/>
      <c r="H58" s="745"/>
      <c r="I58" s="330"/>
      <c r="J58" s="327"/>
      <c r="K58" s="38">
        <f>+J58*I58</f>
        <v>0</v>
      </c>
    </row>
    <row r="59" spans="1:11" ht="15" thickBot="1">
      <c r="A59" s="744"/>
      <c r="B59" s="745"/>
      <c r="C59" s="327"/>
      <c r="D59" s="327"/>
      <c r="E59" s="31">
        <f t="shared" si="2"/>
        <v>0</v>
      </c>
      <c r="F59" s="22"/>
      <c r="G59" s="22"/>
      <c r="H59" s="22"/>
      <c r="I59" s="22"/>
      <c r="J59" s="48" t="s">
        <v>23</v>
      </c>
      <c r="K59" s="40">
        <f>SUM(K53:K58)</f>
        <v>145</v>
      </c>
    </row>
    <row r="60" spans="1:11" ht="14.25">
      <c r="A60" s="744"/>
      <c r="B60" s="745"/>
      <c r="C60" s="327"/>
      <c r="D60" s="327"/>
      <c r="E60" s="31">
        <f t="shared" si="2"/>
        <v>0</v>
      </c>
      <c r="H60" s="22"/>
      <c r="I60" s="22"/>
      <c r="J60" s="48" t="s">
        <v>31</v>
      </c>
      <c r="K60" s="52">
        <f>+K59/60</f>
        <v>2.4166666666666665</v>
      </c>
    </row>
    <row r="61" spans="1:5" ht="15" thickBot="1">
      <c r="A61" s="744"/>
      <c r="B61" s="745"/>
      <c r="C61" s="327"/>
      <c r="D61" s="327"/>
      <c r="E61" s="31">
        <f t="shared" si="2"/>
        <v>0</v>
      </c>
    </row>
    <row r="62" spans="1:6" ht="15" thickBot="1">
      <c r="A62" s="50"/>
      <c r="B62" s="50"/>
      <c r="C62" s="39"/>
      <c r="D62" s="39"/>
      <c r="E62" s="40">
        <f>SUM(E53:E61)</f>
        <v>1380</v>
      </c>
      <c r="F62" s="22" t="s">
        <v>23</v>
      </c>
    </row>
    <row r="63" spans="1:6" ht="15.75" thickBot="1">
      <c r="A63" s="333" t="s">
        <v>195</v>
      </c>
      <c r="B63" s="81"/>
      <c r="C63" s="325">
        <v>2</v>
      </c>
      <c r="E63" s="44">
        <f>+E62/60</f>
        <v>23</v>
      </c>
      <c r="F63" s="22" t="s">
        <v>31</v>
      </c>
    </row>
    <row r="64" spans="1:13" ht="15" thickBot="1">
      <c r="A64" s="75"/>
      <c r="B64" s="75"/>
      <c r="C64" s="76"/>
      <c r="D64" s="76"/>
      <c r="E64" s="77"/>
      <c r="F64" s="77"/>
      <c r="G64" s="77"/>
      <c r="H64" s="77"/>
      <c r="I64" s="77"/>
      <c r="J64" s="77"/>
      <c r="K64" s="77"/>
      <c r="L64" s="77"/>
      <c r="M64" s="77"/>
    </row>
    <row r="65" spans="1:5" ht="13.5" thickTop="1">
      <c r="A65" s="7"/>
      <c r="B65" s="7"/>
      <c r="C65" s="1"/>
      <c r="D65" s="1"/>
      <c r="E65" s="1"/>
    </row>
    <row r="66" spans="1:6" ht="18">
      <c r="A66" s="7"/>
      <c r="B66" s="7"/>
      <c r="C66" s="1"/>
      <c r="D66" s="1"/>
      <c r="E66" s="49"/>
      <c r="F66" s="49"/>
    </row>
    <row r="67" spans="1:6" ht="18">
      <c r="A67" s="7"/>
      <c r="B67" s="7"/>
      <c r="C67" s="1"/>
      <c r="D67" s="1"/>
      <c r="E67" s="53"/>
      <c r="F67" s="53"/>
    </row>
    <row r="68" spans="1:7" ht="14.25">
      <c r="A68" s="7"/>
      <c r="B68" s="7"/>
      <c r="C68" s="1"/>
      <c r="D68" s="1"/>
      <c r="G68" s="22"/>
    </row>
    <row r="69" spans="1:6" ht="15">
      <c r="A69" s="7"/>
      <c r="B69" s="7"/>
      <c r="C69" s="1"/>
      <c r="D69" s="1"/>
      <c r="F69" s="54"/>
    </row>
    <row r="70" spans="1:6" ht="15">
      <c r="A70" s="7"/>
      <c r="B70" s="7"/>
      <c r="C70" s="1"/>
      <c r="D70" s="1"/>
      <c r="F70" s="54"/>
    </row>
    <row r="71" spans="1:6" ht="15">
      <c r="A71" s="7"/>
      <c r="B71" s="7"/>
      <c r="C71" s="1"/>
      <c r="D71" s="1"/>
      <c r="E71" s="1"/>
      <c r="F71" s="54"/>
    </row>
    <row r="72" spans="1:5" ht="12.75">
      <c r="A72" s="7"/>
      <c r="B72" s="7"/>
      <c r="C72" s="1"/>
      <c r="D72" s="1"/>
      <c r="E72" s="1"/>
    </row>
    <row r="73" spans="1:5" ht="12.75">
      <c r="A73" s="7"/>
      <c r="B73" s="7"/>
      <c r="C73" s="1"/>
      <c r="D73" s="1"/>
      <c r="E73" s="1"/>
    </row>
    <row r="74" spans="1:5" ht="12.75">
      <c r="A74" s="7"/>
      <c r="B74" s="7"/>
      <c r="C74" s="1"/>
      <c r="D74" s="1"/>
      <c r="E74" s="1"/>
    </row>
    <row r="75" spans="1:5" ht="12.75">
      <c r="A75" s="7"/>
      <c r="B75" s="7"/>
      <c r="C75" s="1"/>
      <c r="D75" s="1"/>
      <c r="E75" s="1"/>
    </row>
    <row r="76" spans="1:5" ht="12.75">
      <c r="A76" s="7"/>
      <c r="B76" s="7"/>
      <c r="C76" s="1"/>
      <c r="D76" s="1"/>
      <c r="E76" s="1"/>
    </row>
    <row r="77" spans="1:5" ht="12.75">
      <c r="A77" s="7"/>
      <c r="B77" s="7"/>
      <c r="C77" s="1"/>
      <c r="D77" s="1"/>
      <c r="E77" s="1"/>
    </row>
    <row r="78" spans="1:5" ht="12.75">
      <c r="A78" s="7"/>
      <c r="B78" s="7"/>
      <c r="C78" s="1"/>
      <c r="D78" s="1"/>
      <c r="E78" s="1"/>
    </row>
    <row r="79" spans="1:5" ht="12.75">
      <c r="A79" s="7"/>
      <c r="B79" s="7"/>
      <c r="C79" s="1"/>
      <c r="D79" s="1"/>
      <c r="E79" s="1"/>
    </row>
    <row r="80" spans="1:5" ht="12.75">
      <c r="A80" s="7"/>
      <c r="B80" s="7"/>
      <c r="C80" s="1"/>
      <c r="D80" s="1"/>
      <c r="E80" s="1"/>
    </row>
    <row r="81" spans="1:5" ht="12.75">
      <c r="A81" s="7"/>
      <c r="B81" s="7"/>
      <c r="C81" s="1"/>
      <c r="D81" s="1"/>
      <c r="E81" s="1"/>
    </row>
    <row r="82" spans="1:5" ht="23.25">
      <c r="A82" s="28" t="s">
        <v>196</v>
      </c>
      <c r="B82" s="29"/>
      <c r="C82" s="1"/>
      <c r="D82" s="1"/>
      <c r="E82" s="1"/>
    </row>
    <row r="83" spans="1:5" ht="12.75">
      <c r="A83" s="7"/>
      <c r="B83" s="7"/>
      <c r="C83" s="14"/>
      <c r="D83" s="14"/>
      <c r="E83" s="14"/>
    </row>
    <row r="84" spans="1:9" ht="18" customHeight="1">
      <c r="A84" s="589" t="s">
        <v>197</v>
      </c>
      <c r="I84" s="104"/>
    </row>
    <row r="85" ht="10.5" customHeight="1"/>
    <row r="86" ht="15.75">
      <c r="B86" s="187" t="s">
        <v>198</v>
      </c>
    </row>
    <row r="87" spans="1:11" ht="16.5" thickBot="1">
      <c r="A87" s="186" t="s">
        <v>213</v>
      </c>
      <c r="B87" s="188" t="s">
        <v>199</v>
      </c>
      <c r="E87" s="758" t="s">
        <v>200</v>
      </c>
      <c r="F87" s="759"/>
      <c r="G87" s="760"/>
      <c r="H87" s="248">
        <v>8</v>
      </c>
      <c r="I87" s="67" t="s">
        <v>55</v>
      </c>
      <c r="J87" s="249">
        <v>2</v>
      </c>
      <c r="K87" s="563" t="s">
        <v>56</v>
      </c>
    </row>
    <row r="88" spans="1:2" ht="13.5" thickTop="1">
      <c r="A88" s="115">
        <v>1</v>
      </c>
      <c r="B88" s="117">
        <f aca="true" t="shared" si="3" ref="B88:B93">+B118/$H$87</f>
        <v>11.625</v>
      </c>
    </row>
    <row r="89" spans="1:2" ht="12.75">
      <c r="A89" s="92">
        <v>2</v>
      </c>
      <c r="B89" s="117">
        <f t="shared" si="3"/>
        <v>11.625</v>
      </c>
    </row>
    <row r="90" spans="1:2" ht="12.75">
      <c r="A90" s="92">
        <v>3</v>
      </c>
      <c r="B90" s="117">
        <f t="shared" si="3"/>
        <v>11.625</v>
      </c>
    </row>
    <row r="91" spans="1:2" ht="12.75">
      <c r="A91" s="92">
        <v>4</v>
      </c>
      <c r="B91" s="117">
        <f t="shared" si="3"/>
        <v>11.625</v>
      </c>
    </row>
    <row r="92" spans="1:2" ht="12.75">
      <c r="A92" s="92">
        <v>5</v>
      </c>
      <c r="B92" s="117">
        <f t="shared" si="3"/>
        <v>11.625</v>
      </c>
    </row>
    <row r="93" spans="1:2" ht="12.75">
      <c r="A93" s="92">
        <v>6</v>
      </c>
      <c r="B93" s="117">
        <f t="shared" si="3"/>
        <v>11.625</v>
      </c>
    </row>
    <row r="94" spans="2:3" ht="12.75">
      <c r="B94" s="93">
        <f>SUM(B88:B93)</f>
        <v>69.75</v>
      </c>
      <c r="C94" t="s">
        <v>31</v>
      </c>
    </row>
    <row r="95" spans="1:13" ht="13.5" thickBo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5" ht="18">
      <c r="A96" s="51"/>
      <c r="B96" s="7"/>
      <c r="C96" s="14"/>
      <c r="D96" s="14"/>
      <c r="E96" s="14"/>
    </row>
    <row r="97" spans="1:5" ht="12.75">
      <c r="A97" s="7"/>
      <c r="B97" s="7"/>
      <c r="C97" s="14"/>
      <c r="D97" s="14"/>
      <c r="E97" s="14"/>
    </row>
    <row r="98" spans="1:12" ht="20.25">
      <c r="A98" s="589" t="s">
        <v>201</v>
      </c>
      <c r="B98" s="7"/>
      <c r="C98" s="14"/>
      <c r="D98" s="14"/>
      <c r="E98" s="14"/>
      <c r="J98" s="23"/>
      <c r="K98" s="105" t="s">
        <v>64</v>
      </c>
      <c r="L98" s="87">
        <v>2.85</v>
      </c>
    </row>
    <row r="99" spans="1:2" ht="10.5" customHeight="1">
      <c r="A99" s="51"/>
      <c r="B99" s="7"/>
    </row>
    <row r="100" ht="19.5" customHeight="1" thickBot="1">
      <c r="A100" s="562" t="s">
        <v>202</v>
      </c>
    </row>
    <row r="101" spans="1:12" ht="19.5" customHeight="1" thickBot="1">
      <c r="A101" s="51"/>
      <c r="B101" s="14"/>
      <c r="F101" s="752" t="s">
        <v>63</v>
      </c>
      <c r="G101" s="753"/>
      <c r="H101" s="753"/>
      <c r="I101" s="754"/>
      <c r="J101" s="752" t="s">
        <v>62</v>
      </c>
      <c r="K101" s="753"/>
      <c r="L101" s="754"/>
    </row>
    <row r="102" spans="6:12" ht="18" customHeight="1" thickBot="1">
      <c r="F102" s="807" t="s">
        <v>215</v>
      </c>
      <c r="G102" s="807"/>
      <c r="H102" s="807" t="s">
        <v>218</v>
      </c>
      <c r="I102" s="807"/>
      <c r="J102" s="90" t="s">
        <v>61</v>
      </c>
      <c r="K102" s="90" t="s">
        <v>221</v>
      </c>
      <c r="L102" s="90" t="s">
        <v>66</v>
      </c>
    </row>
    <row r="103" spans="2:12" ht="16.5" customHeight="1" thickBot="1">
      <c r="B103" s="755" t="s">
        <v>70</v>
      </c>
      <c r="C103" s="756"/>
      <c r="D103" s="756"/>
      <c r="E103" s="757"/>
      <c r="F103" s="82" t="s">
        <v>216</v>
      </c>
      <c r="G103" s="60" t="s">
        <v>217</v>
      </c>
      <c r="H103" s="60" t="s">
        <v>216</v>
      </c>
      <c r="I103" s="60" t="s">
        <v>217</v>
      </c>
      <c r="J103" s="90" t="s">
        <v>219</v>
      </c>
      <c r="K103" s="90" t="s">
        <v>187</v>
      </c>
      <c r="L103" s="90"/>
    </row>
    <row r="104" spans="1:12" ht="16.5" customHeight="1" thickBot="1">
      <c r="A104" s="114" t="s">
        <v>214</v>
      </c>
      <c r="B104" s="112" t="s">
        <v>57</v>
      </c>
      <c r="C104" s="112" t="s">
        <v>58</v>
      </c>
      <c r="D104" s="112" t="s">
        <v>59</v>
      </c>
      <c r="E104" s="112" t="s">
        <v>60</v>
      </c>
      <c r="F104" s="107">
        <v>54</v>
      </c>
      <c r="G104" s="107">
        <v>102</v>
      </c>
      <c r="H104" s="111" t="str">
        <f>CONCATENATE(F104," mm")</f>
        <v>54 mm</v>
      </c>
      <c r="I104" s="111" t="str">
        <f>CONCATENATE(G104," mm")</f>
        <v>102 mm</v>
      </c>
      <c r="J104" s="112" t="s">
        <v>220</v>
      </c>
      <c r="K104" s="112"/>
      <c r="L104" s="112"/>
    </row>
    <row r="105" spans="1:12" ht="12" customHeight="1" thickTop="1">
      <c r="A105" s="113">
        <v>1</v>
      </c>
      <c r="B105" s="106">
        <v>6</v>
      </c>
      <c r="C105" s="108">
        <v>2.4</v>
      </c>
      <c r="D105" s="108">
        <v>3</v>
      </c>
      <c r="E105" s="106">
        <v>1</v>
      </c>
      <c r="F105" s="106">
        <v>16</v>
      </c>
      <c r="G105" s="106">
        <v>4</v>
      </c>
      <c r="H105" s="109">
        <f aca="true" t="shared" si="4" ref="H105:H110">+F105*E105*B105</f>
        <v>96</v>
      </c>
      <c r="I105" s="109">
        <f aca="true" t="shared" si="5" ref="I105:I110">G105*E105*B105</f>
        <v>24</v>
      </c>
      <c r="J105" s="106">
        <v>2</v>
      </c>
      <c r="K105" s="106">
        <v>16</v>
      </c>
      <c r="L105" s="110">
        <f aca="true" t="shared" si="6" ref="L105:L110">+$L$98*C105*D105*B105*E105</f>
        <v>123.12</v>
      </c>
    </row>
    <row r="106" spans="1:12" ht="12.75">
      <c r="A106" s="91">
        <v>2</v>
      </c>
      <c r="B106" s="84">
        <v>6</v>
      </c>
      <c r="C106" s="85">
        <v>2.4</v>
      </c>
      <c r="D106" s="85">
        <v>3</v>
      </c>
      <c r="E106" s="84">
        <v>1</v>
      </c>
      <c r="F106" s="106">
        <v>16</v>
      </c>
      <c r="G106" s="84">
        <v>4</v>
      </c>
      <c r="H106" s="2">
        <f t="shared" si="4"/>
        <v>96</v>
      </c>
      <c r="I106" s="2">
        <f t="shared" si="5"/>
        <v>24</v>
      </c>
      <c r="J106" s="106">
        <v>2</v>
      </c>
      <c r="K106" s="84">
        <v>16</v>
      </c>
      <c r="L106" s="88">
        <f t="shared" si="6"/>
        <v>123.12</v>
      </c>
    </row>
    <row r="107" spans="1:12" ht="12.75">
      <c r="A107" s="91">
        <v>3</v>
      </c>
      <c r="B107" s="84">
        <v>6</v>
      </c>
      <c r="C107" s="85">
        <v>2.4</v>
      </c>
      <c r="D107" s="85">
        <v>3</v>
      </c>
      <c r="E107" s="84">
        <v>1</v>
      </c>
      <c r="F107" s="106">
        <v>16</v>
      </c>
      <c r="G107" s="84">
        <v>4</v>
      </c>
      <c r="H107" s="2">
        <f t="shared" si="4"/>
        <v>96</v>
      </c>
      <c r="I107" s="2">
        <f t="shared" si="5"/>
        <v>24</v>
      </c>
      <c r="J107" s="106">
        <v>2</v>
      </c>
      <c r="K107" s="84">
        <v>16</v>
      </c>
      <c r="L107" s="88">
        <f t="shared" si="6"/>
        <v>123.12</v>
      </c>
    </row>
    <row r="108" spans="1:12" ht="12.75">
      <c r="A108" s="91">
        <v>4</v>
      </c>
      <c r="B108" s="84">
        <v>6</v>
      </c>
      <c r="C108" s="85">
        <v>2.4</v>
      </c>
      <c r="D108" s="85">
        <v>3</v>
      </c>
      <c r="E108" s="84">
        <v>1</v>
      </c>
      <c r="F108" s="106">
        <v>16</v>
      </c>
      <c r="G108" s="84">
        <v>4</v>
      </c>
      <c r="H108" s="2">
        <f t="shared" si="4"/>
        <v>96</v>
      </c>
      <c r="I108" s="2">
        <f t="shared" si="5"/>
        <v>24</v>
      </c>
      <c r="J108" s="106">
        <v>2</v>
      </c>
      <c r="K108" s="84">
        <v>16</v>
      </c>
      <c r="L108" s="88">
        <f t="shared" si="6"/>
        <v>123.12</v>
      </c>
    </row>
    <row r="109" spans="1:12" ht="12.75">
      <c r="A109" s="91">
        <v>5</v>
      </c>
      <c r="B109" s="84">
        <v>6</v>
      </c>
      <c r="C109" s="85">
        <v>2.4</v>
      </c>
      <c r="D109" s="85">
        <v>3</v>
      </c>
      <c r="E109" s="84">
        <v>1</v>
      </c>
      <c r="F109" s="106">
        <v>16</v>
      </c>
      <c r="G109" s="84">
        <v>4</v>
      </c>
      <c r="H109" s="2">
        <f t="shared" si="4"/>
        <v>96</v>
      </c>
      <c r="I109" s="2">
        <f t="shared" si="5"/>
        <v>24</v>
      </c>
      <c r="J109" s="106">
        <v>2</v>
      </c>
      <c r="K109" s="84">
        <v>16</v>
      </c>
      <c r="L109" s="88">
        <f t="shared" si="6"/>
        <v>123.12</v>
      </c>
    </row>
    <row r="110" spans="1:12" ht="12.75">
      <c r="A110" s="91">
        <v>6</v>
      </c>
      <c r="B110" s="84">
        <v>6</v>
      </c>
      <c r="C110" s="85">
        <v>2.4</v>
      </c>
      <c r="D110" s="85">
        <v>3</v>
      </c>
      <c r="E110" s="84">
        <v>1</v>
      </c>
      <c r="F110" s="106">
        <v>16</v>
      </c>
      <c r="G110" s="84">
        <v>4</v>
      </c>
      <c r="H110" s="2">
        <f t="shared" si="4"/>
        <v>96</v>
      </c>
      <c r="I110" s="2">
        <f t="shared" si="5"/>
        <v>24</v>
      </c>
      <c r="J110" s="106">
        <v>2</v>
      </c>
      <c r="K110" s="84">
        <v>16</v>
      </c>
      <c r="L110" s="88">
        <f t="shared" si="6"/>
        <v>123.12</v>
      </c>
    </row>
    <row r="111" spans="1:12" ht="12.75">
      <c r="A111" s="7"/>
      <c r="B111" s="7"/>
      <c r="E111" s="86">
        <f>SUM(E105:E110)</f>
        <v>6</v>
      </c>
      <c r="F111" s="1"/>
      <c r="G111" s="1"/>
      <c r="H111" s="86">
        <f>SUM(H105:H110)</f>
        <v>576</v>
      </c>
      <c r="I111" s="86">
        <f>SUM(I105:I110)</f>
        <v>144</v>
      </c>
      <c r="J111" s="86">
        <f>SUM(J105:J110)</f>
        <v>12</v>
      </c>
      <c r="L111" s="89">
        <f>SUM(L105:L110)</f>
        <v>738.72</v>
      </c>
    </row>
    <row r="112" spans="1:3" ht="12.75">
      <c r="A112" s="7"/>
      <c r="B112" s="7"/>
      <c r="C112" s="1"/>
    </row>
    <row r="113" spans="1:3" ht="20.25">
      <c r="A113" s="562" t="s">
        <v>384</v>
      </c>
      <c r="B113" s="7"/>
      <c r="C113" s="1"/>
    </row>
    <row r="114" spans="2:5" ht="12.75">
      <c r="B114" s="7"/>
      <c r="C114" s="1"/>
      <c r="D114" s="1"/>
      <c r="E114" s="1"/>
    </row>
    <row r="115" spans="1:5" ht="12" customHeight="1">
      <c r="A115" s="55"/>
      <c r="B115" s="7"/>
      <c r="C115" s="1"/>
      <c r="D115" s="1"/>
      <c r="E115" s="1"/>
    </row>
    <row r="116" spans="1:13" ht="20.25">
      <c r="A116" s="55"/>
      <c r="B116" s="59" t="s">
        <v>185</v>
      </c>
      <c r="C116" s="59" t="s">
        <v>245</v>
      </c>
      <c r="D116" s="59" t="s">
        <v>65</v>
      </c>
      <c r="E116" s="59" t="s">
        <v>186</v>
      </c>
      <c r="F116" s="59" t="s">
        <v>247</v>
      </c>
      <c r="G116" s="59" t="s">
        <v>248</v>
      </c>
      <c r="H116" s="59" t="s">
        <v>250</v>
      </c>
      <c r="I116" s="59" t="s">
        <v>223</v>
      </c>
      <c r="J116" s="59" t="s">
        <v>224</v>
      </c>
      <c r="K116" s="59" t="s">
        <v>67</v>
      </c>
      <c r="L116" s="59" t="s">
        <v>68</v>
      </c>
      <c r="M116" s="59" t="s">
        <v>68</v>
      </c>
    </row>
    <row r="117" spans="1:13" ht="15" thickBot="1">
      <c r="A117" s="114" t="s">
        <v>214</v>
      </c>
      <c r="B117" s="112" t="s">
        <v>222</v>
      </c>
      <c r="C117" s="112" t="s">
        <v>74</v>
      </c>
      <c r="D117" s="112" t="s">
        <v>239</v>
      </c>
      <c r="E117" s="112" t="s">
        <v>246</v>
      </c>
      <c r="F117" s="112" t="s">
        <v>242</v>
      </c>
      <c r="G117" s="112" t="s">
        <v>249</v>
      </c>
      <c r="H117" s="112" t="s">
        <v>251</v>
      </c>
      <c r="I117" s="112" t="s">
        <v>243</v>
      </c>
      <c r="J117" s="112" t="s">
        <v>225</v>
      </c>
      <c r="K117" s="112" t="s">
        <v>240</v>
      </c>
      <c r="L117" s="112" t="s">
        <v>69</v>
      </c>
      <c r="M117" s="112" t="s">
        <v>252</v>
      </c>
    </row>
    <row r="118" spans="1:13" ht="13.5" thickTop="1">
      <c r="A118" s="115">
        <f aca="true" t="shared" si="7" ref="A118:A123">A105</f>
        <v>1</v>
      </c>
      <c r="B118" s="116">
        <v>93</v>
      </c>
      <c r="C118" s="106">
        <v>1.2</v>
      </c>
      <c r="D118" s="109">
        <f aca="true" t="shared" si="8" ref="D118:D123">ROUNDDOWN(IF(B118=0,0,+(B118-(C105*E105))/C118+1),0)</f>
        <v>76</v>
      </c>
      <c r="E118" s="106">
        <v>18</v>
      </c>
      <c r="F118" s="110">
        <f aca="true" t="shared" si="9" ref="F118:F123">E118*C118*$L$98</f>
        <v>61.559999999999995</v>
      </c>
      <c r="G118" s="106">
        <v>18</v>
      </c>
      <c r="H118" s="109">
        <f aca="true" t="shared" si="10" ref="H118:H123">+G118*D118</f>
        <v>1368</v>
      </c>
      <c r="I118" s="106">
        <v>3</v>
      </c>
      <c r="J118" s="109">
        <f aca="true" t="shared" si="11" ref="J118:J123">+I118*D118</f>
        <v>228</v>
      </c>
      <c r="K118" s="106">
        <v>4</v>
      </c>
      <c r="L118" s="109">
        <f aca="true" t="shared" si="12" ref="L118:L123">ROUNDUP(IF(K118=0,0,D118/K118),0)</f>
        <v>19</v>
      </c>
      <c r="M118" s="110">
        <f aca="true" t="shared" si="13" ref="M118:M123">IF(L118=0,0,+$L$98*E118*C118*(D118)/L118)</f>
        <v>246.24</v>
      </c>
    </row>
    <row r="119" spans="1:13" ht="12.75">
      <c r="A119" s="92">
        <f t="shared" si="7"/>
        <v>2</v>
      </c>
      <c r="B119" s="83">
        <v>93</v>
      </c>
      <c r="C119" s="84">
        <v>1.2</v>
      </c>
      <c r="D119" s="109">
        <f t="shared" si="8"/>
        <v>76</v>
      </c>
      <c r="E119" s="84">
        <v>18</v>
      </c>
      <c r="F119" s="110">
        <f t="shared" si="9"/>
        <v>61.559999999999995</v>
      </c>
      <c r="G119" s="84">
        <v>18</v>
      </c>
      <c r="H119" s="2">
        <f t="shared" si="10"/>
        <v>1368</v>
      </c>
      <c r="I119" s="84">
        <v>3</v>
      </c>
      <c r="J119" s="2">
        <f t="shared" si="11"/>
        <v>228</v>
      </c>
      <c r="K119" s="84">
        <v>4</v>
      </c>
      <c r="L119" s="109">
        <f t="shared" si="12"/>
        <v>19</v>
      </c>
      <c r="M119" s="110">
        <f t="shared" si="13"/>
        <v>246.24</v>
      </c>
    </row>
    <row r="120" spans="1:13" ht="12.75">
      <c r="A120" s="92">
        <f t="shared" si="7"/>
        <v>3</v>
      </c>
      <c r="B120" s="83">
        <v>93</v>
      </c>
      <c r="C120" s="84">
        <v>1.2</v>
      </c>
      <c r="D120" s="109">
        <f t="shared" si="8"/>
        <v>76</v>
      </c>
      <c r="E120" s="84">
        <v>18</v>
      </c>
      <c r="F120" s="110">
        <f t="shared" si="9"/>
        <v>61.559999999999995</v>
      </c>
      <c r="G120" s="84">
        <v>18</v>
      </c>
      <c r="H120" s="2">
        <f t="shared" si="10"/>
        <v>1368</v>
      </c>
      <c r="I120" s="84">
        <v>3</v>
      </c>
      <c r="J120" s="2">
        <f t="shared" si="11"/>
        <v>228</v>
      </c>
      <c r="K120" s="84">
        <v>4</v>
      </c>
      <c r="L120" s="109">
        <f t="shared" si="12"/>
        <v>19</v>
      </c>
      <c r="M120" s="110">
        <f t="shared" si="13"/>
        <v>246.24</v>
      </c>
    </row>
    <row r="121" spans="1:13" ht="12.75">
      <c r="A121" s="92">
        <f t="shared" si="7"/>
        <v>4</v>
      </c>
      <c r="B121" s="83">
        <v>93</v>
      </c>
      <c r="C121" s="84">
        <v>1.2</v>
      </c>
      <c r="D121" s="109">
        <f t="shared" si="8"/>
        <v>76</v>
      </c>
      <c r="E121" s="84">
        <v>18</v>
      </c>
      <c r="F121" s="110">
        <f t="shared" si="9"/>
        <v>61.559999999999995</v>
      </c>
      <c r="G121" s="84">
        <v>18</v>
      </c>
      <c r="H121" s="2">
        <f t="shared" si="10"/>
        <v>1368</v>
      </c>
      <c r="I121" s="84">
        <v>3</v>
      </c>
      <c r="J121" s="2">
        <f t="shared" si="11"/>
        <v>228</v>
      </c>
      <c r="K121" s="84">
        <v>4</v>
      </c>
      <c r="L121" s="109">
        <f t="shared" si="12"/>
        <v>19</v>
      </c>
      <c r="M121" s="110">
        <f t="shared" si="13"/>
        <v>246.24</v>
      </c>
    </row>
    <row r="122" spans="1:13" ht="12.75">
      <c r="A122" s="92">
        <f t="shared" si="7"/>
        <v>5</v>
      </c>
      <c r="B122" s="83">
        <v>93</v>
      </c>
      <c r="C122" s="84">
        <v>1.2</v>
      </c>
      <c r="D122" s="109">
        <f t="shared" si="8"/>
        <v>76</v>
      </c>
      <c r="E122" s="84">
        <v>18</v>
      </c>
      <c r="F122" s="110">
        <f t="shared" si="9"/>
        <v>61.559999999999995</v>
      </c>
      <c r="G122" s="84">
        <v>18</v>
      </c>
      <c r="H122" s="2">
        <f t="shared" si="10"/>
        <v>1368</v>
      </c>
      <c r="I122" s="84">
        <v>3</v>
      </c>
      <c r="J122" s="2">
        <f t="shared" si="11"/>
        <v>228</v>
      </c>
      <c r="K122" s="84">
        <v>4</v>
      </c>
      <c r="L122" s="109">
        <f t="shared" si="12"/>
        <v>19</v>
      </c>
      <c r="M122" s="110">
        <f t="shared" si="13"/>
        <v>246.24</v>
      </c>
    </row>
    <row r="123" spans="1:13" ht="12.75">
      <c r="A123" s="92">
        <f t="shared" si="7"/>
        <v>6</v>
      </c>
      <c r="B123" s="83">
        <v>93</v>
      </c>
      <c r="C123" s="84">
        <v>1.2</v>
      </c>
      <c r="D123" s="109">
        <f t="shared" si="8"/>
        <v>76</v>
      </c>
      <c r="E123" s="84">
        <v>18</v>
      </c>
      <c r="F123" s="110">
        <f t="shared" si="9"/>
        <v>61.559999999999995</v>
      </c>
      <c r="G123" s="84">
        <v>18</v>
      </c>
      <c r="H123" s="2">
        <f t="shared" si="10"/>
        <v>1368</v>
      </c>
      <c r="I123" s="84">
        <v>3</v>
      </c>
      <c r="J123" s="2">
        <f t="shared" si="11"/>
        <v>228</v>
      </c>
      <c r="K123" s="84">
        <v>4</v>
      </c>
      <c r="L123" s="109">
        <f t="shared" si="12"/>
        <v>19</v>
      </c>
      <c r="M123" s="110">
        <f t="shared" si="13"/>
        <v>246.24</v>
      </c>
    </row>
    <row r="124" spans="1:13" ht="12.75">
      <c r="A124" s="7"/>
      <c r="B124" s="7"/>
      <c r="C124" s="1"/>
      <c r="D124" s="1"/>
      <c r="F124" s="89">
        <f>SUM(F118:F123)</f>
        <v>369.35999999999996</v>
      </c>
      <c r="H124" s="86">
        <f>SUM(H118:H123)</f>
        <v>8208</v>
      </c>
      <c r="J124" s="86">
        <f>SUM(J118:J123)</f>
        <v>1368</v>
      </c>
      <c r="L124" s="86">
        <f>SUM(L118:L123)</f>
        <v>114</v>
      </c>
      <c r="M124" s="89">
        <f>SUM(M118:M123)</f>
        <v>1477.44</v>
      </c>
    </row>
    <row r="125" spans="1:4" ht="12.75">
      <c r="A125" s="7"/>
      <c r="B125" s="7"/>
      <c r="C125" s="1"/>
      <c r="D125" s="1"/>
    </row>
    <row r="126" spans="1:10" ht="15">
      <c r="A126" s="7"/>
      <c r="B126" s="7"/>
      <c r="C126" s="1"/>
      <c r="D126" s="1"/>
      <c r="F126" s="251" t="s">
        <v>395</v>
      </c>
      <c r="G126" s="252"/>
      <c r="H126" s="253"/>
      <c r="I126" s="250">
        <f>+D118*F118+D119*F119+D120*F120+D121*F121+D122*F122+D123*F123</f>
        <v>28071.359999999993</v>
      </c>
      <c r="J126" s="6" t="s">
        <v>2</v>
      </c>
    </row>
    <row r="127" spans="1:10" ht="15">
      <c r="A127" s="7"/>
      <c r="B127" s="7"/>
      <c r="C127" s="1"/>
      <c r="D127" s="1"/>
      <c r="F127" s="251" t="s">
        <v>385</v>
      </c>
      <c r="G127" s="252"/>
      <c r="H127" s="253"/>
      <c r="I127" s="62">
        <f>+I126/H124</f>
        <v>3.419999999999999</v>
      </c>
      <c r="J127" s="6" t="s">
        <v>226</v>
      </c>
    </row>
    <row r="128" spans="1:13" ht="13.5" thickBot="1">
      <c r="A128" s="203"/>
      <c r="B128" s="20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5" ht="12.75">
      <c r="A129" s="7"/>
      <c r="B129" s="7"/>
      <c r="C129" s="1"/>
      <c r="D129" s="1"/>
      <c r="E129" s="1"/>
    </row>
    <row r="130" spans="1:4" ht="10.5" customHeight="1" thickBot="1">
      <c r="A130" s="51"/>
      <c r="B130" s="7"/>
      <c r="C130" s="14"/>
      <c r="D130" s="14"/>
    </row>
    <row r="131" spans="1:11" ht="18" customHeight="1" thickBot="1">
      <c r="A131" s="589" t="s">
        <v>203</v>
      </c>
      <c r="E131" s="802" t="s">
        <v>386</v>
      </c>
      <c r="F131" s="806"/>
      <c r="G131" s="806"/>
      <c r="H131" s="803"/>
      <c r="I131" s="104"/>
      <c r="J131" s="738" t="s">
        <v>230</v>
      </c>
      <c r="K131" s="740"/>
    </row>
    <row r="132" spans="2:11" ht="15.75" thickBot="1">
      <c r="B132" s="802" t="s">
        <v>227</v>
      </c>
      <c r="C132" s="803"/>
      <c r="E132" s="748" t="s">
        <v>70</v>
      </c>
      <c r="F132" s="749"/>
      <c r="G132" s="748" t="s">
        <v>228</v>
      </c>
      <c r="H132" s="749"/>
      <c r="J132" s="354" t="s">
        <v>70</v>
      </c>
      <c r="K132" s="354" t="s">
        <v>228</v>
      </c>
    </row>
    <row r="133" spans="1:11" ht="13.5" thickBot="1">
      <c r="A133" s="186" t="s">
        <v>213</v>
      </c>
      <c r="B133" s="199" t="s">
        <v>70</v>
      </c>
      <c r="C133" s="200" t="s">
        <v>228</v>
      </c>
      <c r="E133" s="192" t="s">
        <v>12</v>
      </c>
      <c r="F133" s="193" t="s">
        <v>229</v>
      </c>
      <c r="G133" s="192" t="s">
        <v>12</v>
      </c>
      <c r="H133" s="193" t="s">
        <v>229</v>
      </c>
      <c r="J133" s="355">
        <v>8.9</v>
      </c>
      <c r="K133" s="355">
        <v>13.9</v>
      </c>
    </row>
    <row r="134" spans="1:8" ht="13.5" thickTop="1">
      <c r="A134" s="198">
        <f aca="true" t="shared" si="14" ref="A134:A139">A105</f>
        <v>1</v>
      </c>
      <c r="B134" s="201">
        <f aca="true" t="shared" si="15" ref="B134:B139">H105/$J$133</f>
        <v>10.786516853932584</v>
      </c>
      <c r="C134" s="202">
        <f aca="true" t="shared" si="16" ref="C134:C139">H118/$K$133</f>
        <v>98.41726618705036</v>
      </c>
      <c r="E134" s="194">
        <v>0.1</v>
      </c>
      <c r="F134" s="195">
        <f aca="true" t="shared" si="17" ref="F134:F139">+E134*B134</f>
        <v>1.0786516853932584</v>
      </c>
      <c r="G134" s="194">
        <v>0.01</v>
      </c>
      <c r="H134" s="195">
        <f aca="true" t="shared" si="18" ref="H134:H139">+G134*C134</f>
        <v>0.9841726618705036</v>
      </c>
    </row>
    <row r="135" spans="1:12" ht="15">
      <c r="A135" s="97">
        <f t="shared" si="14"/>
        <v>2</v>
      </c>
      <c r="B135" s="353">
        <f t="shared" si="15"/>
        <v>10.786516853932584</v>
      </c>
      <c r="C135" s="99">
        <f t="shared" si="16"/>
        <v>98.41726618705036</v>
      </c>
      <c r="E135" s="196">
        <v>0.1</v>
      </c>
      <c r="F135" s="24">
        <f t="shared" si="17"/>
        <v>1.0786516853932584</v>
      </c>
      <c r="G135" s="196">
        <v>0.01</v>
      </c>
      <c r="H135" s="24">
        <f t="shared" si="18"/>
        <v>0.9841726618705036</v>
      </c>
      <c r="I135" s="276" t="s">
        <v>231</v>
      </c>
      <c r="J135" s="274"/>
      <c r="K135" s="274"/>
      <c r="L135" s="275"/>
    </row>
    <row r="136" spans="1:12" ht="12.75">
      <c r="A136" s="97">
        <f t="shared" si="14"/>
        <v>3</v>
      </c>
      <c r="B136" s="98">
        <f t="shared" si="15"/>
        <v>10.786516853932584</v>
      </c>
      <c r="C136" s="99">
        <f t="shared" si="16"/>
        <v>98.41726618705036</v>
      </c>
      <c r="E136" s="196">
        <v>0.1</v>
      </c>
      <c r="F136" s="24">
        <f t="shared" si="17"/>
        <v>1.0786516853932584</v>
      </c>
      <c r="G136" s="196">
        <v>0.01</v>
      </c>
      <c r="H136" s="24">
        <f t="shared" si="18"/>
        <v>0.9841726618705036</v>
      </c>
      <c r="I136" s="287" t="s">
        <v>232</v>
      </c>
      <c r="J136" s="56"/>
      <c r="K136" s="4"/>
      <c r="L136" s="273">
        <v>8</v>
      </c>
    </row>
    <row r="137" spans="1:12" ht="12.75">
      <c r="A137" s="97">
        <f t="shared" si="14"/>
        <v>4</v>
      </c>
      <c r="B137" s="98">
        <f t="shared" si="15"/>
        <v>10.786516853932584</v>
      </c>
      <c r="C137" s="99">
        <f t="shared" si="16"/>
        <v>98.41726618705036</v>
      </c>
      <c r="E137" s="196">
        <v>0.1</v>
      </c>
      <c r="F137" s="24">
        <f t="shared" si="17"/>
        <v>1.0786516853932584</v>
      </c>
      <c r="G137" s="196">
        <v>0.01</v>
      </c>
      <c r="H137" s="24">
        <f t="shared" si="18"/>
        <v>0.9841726618705036</v>
      </c>
      <c r="I137" s="287" t="s">
        <v>396</v>
      </c>
      <c r="J137" s="56"/>
      <c r="K137" s="4"/>
      <c r="L137" s="270">
        <v>4</v>
      </c>
    </row>
    <row r="138" spans="1:12" ht="12.75">
      <c r="A138" s="97">
        <f t="shared" si="14"/>
        <v>5</v>
      </c>
      <c r="B138" s="98">
        <f t="shared" si="15"/>
        <v>10.786516853932584</v>
      </c>
      <c r="C138" s="99">
        <f t="shared" si="16"/>
        <v>98.41726618705036</v>
      </c>
      <c r="E138" s="196">
        <v>0.1</v>
      </c>
      <c r="F138" s="24">
        <f t="shared" si="17"/>
        <v>1.0786516853932584</v>
      </c>
      <c r="G138" s="196">
        <v>0.01</v>
      </c>
      <c r="H138" s="24">
        <f t="shared" si="18"/>
        <v>0.9841726618705036</v>
      </c>
      <c r="I138" s="287" t="s">
        <v>71</v>
      </c>
      <c r="J138" s="56"/>
      <c r="K138" s="4"/>
      <c r="L138" s="270">
        <v>2</v>
      </c>
    </row>
    <row r="139" spans="1:12" ht="12.75">
      <c r="A139" s="97">
        <f t="shared" si="14"/>
        <v>6</v>
      </c>
      <c r="B139" s="98">
        <f t="shared" si="15"/>
        <v>10.786516853932584</v>
      </c>
      <c r="C139" s="99">
        <f t="shared" si="16"/>
        <v>98.41726618705036</v>
      </c>
      <c r="E139" s="452">
        <v>0.1</v>
      </c>
      <c r="F139" s="24">
        <f t="shared" si="17"/>
        <v>1.0786516853932584</v>
      </c>
      <c r="G139" s="196">
        <v>0.01</v>
      </c>
      <c r="H139" s="24">
        <f t="shared" si="18"/>
        <v>0.9841726618705036</v>
      </c>
      <c r="I139" s="287" t="s">
        <v>72</v>
      </c>
      <c r="J139" s="56"/>
      <c r="K139" s="4"/>
      <c r="L139" s="270">
        <v>2</v>
      </c>
    </row>
    <row r="140" spans="2:12" ht="13.5" thickBot="1">
      <c r="B140" s="277">
        <f>SUM(B134:B139)</f>
        <v>64.71910112359551</v>
      </c>
      <c r="C140" s="278">
        <f>SUM(C134:C139)</f>
        <v>590.5035971223022</v>
      </c>
      <c r="E140" s="197">
        <f>+F140/B140</f>
        <v>0.09999999999999999</v>
      </c>
      <c r="F140" s="100">
        <f>SUM(F134:F139)</f>
        <v>6.47191011235955</v>
      </c>
      <c r="G140" s="197">
        <f>+H140/C140</f>
        <v>0.009999999999999998</v>
      </c>
      <c r="H140" s="100">
        <f>SUM(H134:H139)</f>
        <v>5.905035971223021</v>
      </c>
      <c r="I140" s="287" t="s">
        <v>73</v>
      </c>
      <c r="J140" s="56"/>
      <c r="K140" s="4"/>
      <c r="L140" s="270">
        <v>2</v>
      </c>
    </row>
    <row r="141" spans="1:12" ht="13.5" thickBot="1">
      <c r="A141" t="s">
        <v>387</v>
      </c>
      <c r="B141" s="306">
        <f>ROUND(B140/(C281-E22-L142/60),0)</f>
        <v>12</v>
      </c>
      <c r="C141" s="305">
        <f>ROUND(C140/(C281-E22-L142/60),0)</f>
        <v>106</v>
      </c>
      <c r="D141" t="s">
        <v>389</v>
      </c>
      <c r="E141" s="15"/>
      <c r="F141" s="548">
        <f>ROUND(F140/(C281-E22-L142/60),0)</f>
        <v>1</v>
      </c>
      <c r="H141" s="304">
        <f>ROUND(H140/(C281-E22-L142/60),0)</f>
        <v>1</v>
      </c>
      <c r="I141" s="285"/>
      <c r="J141" s="286"/>
      <c r="K141" s="286"/>
      <c r="L141" s="271"/>
    </row>
    <row r="142" spans="1:13" ht="13.5" thickBot="1">
      <c r="A142" s="269" t="s">
        <v>388</v>
      </c>
      <c r="B142" s="564">
        <f>+B140+B141*L142/60</f>
        <v>68.3191011235955</v>
      </c>
      <c r="C142" s="565">
        <f>+C140+C141*L142/60</f>
        <v>622.3035971223021</v>
      </c>
      <c r="D142" s="269" t="s">
        <v>388</v>
      </c>
      <c r="F142" s="283">
        <f>+F140+F141*L142/60</f>
        <v>6.77191011235955</v>
      </c>
      <c r="H142" s="283">
        <f>+H140+H141*L142/60</f>
        <v>6.205035971223021</v>
      </c>
      <c r="I142" s="224"/>
      <c r="J142" s="224"/>
      <c r="K142" s="282" t="s">
        <v>233</v>
      </c>
      <c r="L142" s="272">
        <f>SUM(L136:L141)</f>
        <v>18</v>
      </c>
      <c r="M142" s="6" t="s">
        <v>234</v>
      </c>
    </row>
    <row r="143" spans="1:13" ht="20.25" customHeight="1" thickBot="1">
      <c r="A143" s="269"/>
      <c r="M143" s="6"/>
    </row>
    <row r="144" spans="2:13" ht="14.25" thickBot="1" thickTop="1">
      <c r="B144" s="733" t="s">
        <v>390</v>
      </c>
      <c r="C144" s="734"/>
      <c r="D144" s="6" t="s">
        <v>238</v>
      </c>
      <c r="M144" s="6"/>
    </row>
    <row r="145" spans="1:13" ht="13.5" thickBot="1">
      <c r="A145" s="586" t="s">
        <v>235</v>
      </c>
      <c r="B145" s="338">
        <f>+E321</f>
        <v>43</v>
      </c>
      <c r="C145" s="339">
        <f>+E322</f>
        <v>67.3</v>
      </c>
      <c r="D145" s="552" t="s">
        <v>237</v>
      </c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5" ht="18">
      <c r="A146" s="51"/>
      <c r="B146" s="7"/>
      <c r="C146" s="14"/>
      <c r="D146" s="14"/>
      <c r="E146" s="14"/>
    </row>
    <row r="147" spans="1:3" ht="20.25">
      <c r="A147" s="589" t="s">
        <v>336</v>
      </c>
      <c r="B147" s="7"/>
      <c r="C147" s="1"/>
    </row>
    <row r="148" spans="2:5" ht="12.75">
      <c r="B148" s="7"/>
      <c r="C148" s="1"/>
      <c r="D148" s="1"/>
      <c r="E148" s="1"/>
    </row>
    <row r="149" spans="1:5" ht="20.25">
      <c r="A149" s="55"/>
      <c r="B149" s="7"/>
      <c r="C149" s="1"/>
      <c r="D149" s="1"/>
      <c r="E149" s="1"/>
    </row>
    <row r="150" spans="1:11" ht="12.75">
      <c r="A150" s="566" t="s">
        <v>214</v>
      </c>
      <c r="B150" s="59" t="s">
        <v>185</v>
      </c>
      <c r="C150" s="59" t="s">
        <v>245</v>
      </c>
      <c r="D150" s="59" t="s">
        <v>68</v>
      </c>
      <c r="E150" s="59" t="s">
        <v>68</v>
      </c>
      <c r="F150" s="59" t="s">
        <v>254</v>
      </c>
      <c r="G150" s="59" t="s">
        <v>248</v>
      </c>
      <c r="H150" s="59" t="s">
        <v>250</v>
      </c>
      <c r="I150" s="59" t="s">
        <v>391</v>
      </c>
      <c r="J150" s="59" t="s">
        <v>256</v>
      </c>
      <c r="K150" s="59" t="s">
        <v>75</v>
      </c>
    </row>
    <row r="151" spans="1:11" ht="13.5" thickBot="1">
      <c r="A151" s="112" t="s">
        <v>228</v>
      </c>
      <c r="B151" s="112" t="s">
        <v>222</v>
      </c>
      <c r="C151" s="112" t="s">
        <v>74</v>
      </c>
      <c r="D151" s="112" t="s">
        <v>74</v>
      </c>
      <c r="E151" s="112" t="s">
        <v>253</v>
      </c>
      <c r="F151" s="112" t="s">
        <v>255</v>
      </c>
      <c r="G151" s="112" t="s">
        <v>249</v>
      </c>
      <c r="H151" s="254" t="s">
        <v>251</v>
      </c>
      <c r="I151" s="112" t="s">
        <v>392</v>
      </c>
      <c r="J151" s="112" t="s">
        <v>199</v>
      </c>
      <c r="K151" s="112" t="s">
        <v>257</v>
      </c>
    </row>
    <row r="152" spans="1:11" ht="13.5" thickTop="1">
      <c r="A152" s="115">
        <f aca="true" t="shared" si="19" ref="A152:A157">A105</f>
        <v>1</v>
      </c>
      <c r="B152" s="420">
        <v>93</v>
      </c>
      <c r="C152" s="106">
        <v>2.4</v>
      </c>
      <c r="D152" s="109">
        <f aca="true" t="shared" si="20" ref="D152:D157">ROUNDDOWN(IF(B118=0,0,+(B118)/C152),0)</f>
        <v>38</v>
      </c>
      <c r="E152" s="106">
        <v>6</v>
      </c>
      <c r="F152" s="106">
        <v>1</v>
      </c>
      <c r="G152" s="106">
        <v>30</v>
      </c>
      <c r="H152" s="109">
        <f aca="true" t="shared" si="21" ref="H152:H157">+G152*D152</f>
        <v>1140</v>
      </c>
      <c r="I152" s="109">
        <f aca="true" t="shared" si="22" ref="I152:I157">+G152*F152*D152</f>
        <v>1140</v>
      </c>
      <c r="J152" s="423">
        <f aca="true" t="shared" si="23" ref="J152:J157">+H152/$E$169</f>
        <v>76.51006711409396</v>
      </c>
      <c r="K152" s="423">
        <f aca="true" t="shared" si="24" ref="K152:K157">+$L$170/60*E152*D152</f>
        <v>30.400000000000002</v>
      </c>
    </row>
    <row r="153" spans="1:11" ht="12.75">
      <c r="A153" s="115">
        <f t="shared" si="19"/>
        <v>2</v>
      </c>
      <c r="B153" s="420">
        <v>93</v>
      </c>
      <c r="C153" s="84">
        <v>2.4</v>
      </c>
      <c r="D153" s="109">
        <f t="shared" si="20"/>
        <v>38</v>
      </c>
      <c r="E153" s="84">
        <v>6</v>
      </c>
      <c r="F153" s="84">
        <v>1</v>
      </c>
      <c r="G153" s="84">
        <v>30</v>
      </c>
      <c r="H153" s="2">
        <f t="shared" si="21"/>
        <v>1140</v>
      </c>
      <c r="I153" s="2">
        <f t="shared" si="22"/>
        <v>1140</v>
      </c>
      <c r="J153" s="423">
        <f t="shared" si="23"/>
        <v>76.51006711409396</v>
      </c>
      <c r="K153" s="423">
        <f t="shared" si="24"/>
        <v>30.400000000000002</v>
      </c>
    </row>
    <row r="154" spans="1:11" ht="12.75">
      <c r="A154" s="115">
        <f t="shared" si="19"/>
        <v>3</v>
      </c>
      <c r="B154" s="420">
        <v>93</v>
      </c>
      <c r="C154" s="84">
        <v>2.4</v>
      </c>
      <c r="D154" s="109">
        <f t="shared" si="20"/>
        <v>38</v>
      </c>
      <c r="E154" s="84">
        <v>6</v>
      </c>
      <c r="F154" s="84">
        <v>1</v>
      </c>
      <c r="G154" s="84">
        <v>30</v>
      </c>
      <c r="H154" s="2">
        <f t="shared" si="21"/>
        <v>1140</v>
      </c>
      <c r="I154" s="2">
        <f t="shared" si="22"/>
        <v>1140</v>
      </c>
      <c r="J154" s="423">
        <f t="shared" si="23"/>
        <v>76.51006711409396</v>
      </c>
      <c r="K154" s="423">
        <f t="shared" si="24"/>
        <v>30.400000000000002</v>
      </c>
    </row>
    <row r="155" spans="1:11" ht="12.75">
      <c r="A155" s="115">
        <f t="shared" si="19"/>
        <v>4</v>
      </c>
      <c r="B155" s="420">
        <f>IF(B121&gt;0,B121,"")</f>
        <v>93</v>
      </c>
      <c r="C155" s="84">
        <v>2.4</v>
      </c>
      <c r="D155" s="109">
        <f t="shared" si="20"/>
        <v>38</v>
      </c>
      <c r="E155" s="84">
        <v>6</v>
      </c>
      <c r="F155" s="84">
        <v>1</v>
      </c>
      <c r="G155" s="84">
        <v>30</v>
      </c>
      <c r="H155" s="2">
        <f t="shared" si="21"/>
        <v>1140</v>
      </c>
      <c r="I155" s="2">
        <f t="shared" si="22"/>
        <v>1140</v>
      </c>
      <c r="J155" s="423">
        <f t="shared" si="23"/>
        <v>76.51006711409396</v>
      </c>
      <c r="K155" s="423">
        <f t="shared" si="24"/>
        <v>30.400000000000002</v>
      </c>
    </row>
    <row r="156" spans="1:11" ht="12.75">
      <c r="A156" s="115">
        <f t="shared" si="19"/>
        <v>5</v>
      </c>
      <c r="B156" s="420">
        <f>IF(B122&gt;0,B122,"")</f>
        <v>93</v>
      </c>
      <c r="C156" s="84">
        <v>2.4</v>
      </c>
      <c r="D156" s="109">
        <f t="shared" si="20"/>
        <v>38</v>
      </c>
      <c r="E156" s="84">
        <v>6</v>
      </c>
      <c r="F156" s="84">
        <v>1</v>
      </c>
      <c r="G156" s="84">
        <v>30</v>
      </c>
      <c r="H156" s="2">
        <f t="shared" si="21"/>
        <v>1140</v>
      </c>
      <c r="I156" s="2">
        <f t="shared" si="22"/>
        <v>1140</v>
      </c>
      <c r="J156" s="423">
        <f t="shared" si="23"/>
        <v>76.51006711409396</v>
      </c>
      <c r="K156" s="423">
        <f t="shared" si="24"/>
        <v>30.400000000000002</v>
      </c>
    </row>
    <row r="157" spans="1:11" ht="13.5" thickBot="1">
      <c r="A157" s="445">
        <f t="shared" si="19"/>
        <v>6</v>
      </c>
      <c r="B157" s="446">
        <f>IF(B123&gt;0,B123,"")</f>
        <v>93</v>
      </c>
      <c r="C157" s="447">
        <v>2.4</v>
      </c>
      <c r="D157" s="448">
        <f t="shared" si="20"/>
        <v>38</v>
      </c>
      <c r="E157" s="447">
        <v>6</v>
      </c>
      <c r="F157" s="447">
        <v>1</v>
      </c>
      <c r="G157" s="447">
        <v>30</v>
      </c>
      <c r="H157" s="448">
        <f t="shared" si="21"/>
        <v>1140</v>
      </c>
      <c r="I157" s="448">
        <f t="shared" si="22"/>
        <v>1140</v>
      </c>
      <c r="J157" s="349">
        <f t="shared" si="23"/>
        <v>76.51006711409396</v>
      </c>
      <c r="K157" s="349">
        <f t="shared" si="24"/>
        <v>30.400000000000002</v>
      </c>
    </row>
    <row r="158" spans="1:6" ht="20.25" customHeight="1">
      <c r="A158" s="6" t="s">
        <v>397</v>
      </c>
      <c r="B158" s="450"/>
      <c r="C158" s="451"/>
      <c r="D158" s="451"/>
      <c r="E158" s="451"/>
      <c r="F158" s="449"/>
    </row>
    <row r="159" spans="1:11" ht="12.75">
      <c r="A159" s="91"/>
      <c r="B159" s="83"/>
      <c r="C159" s="84"/>
      <c r="D159" s="2">
        <f>ROUNDDOWN(IF(B159=0,0,+(B159)/C159),0)</f>
        <v>0</v>
      </c>
      <c r="E159" s="84"/>
      <c r="F159" s="84"/>
      <c r="G159" s="84"/>
      <c r="H159" s="2">
        <f>+G159*D159</f>
        <v>0</v>
      </c>
      <c r="I159" s="2">
        <f>+G159*F159*D159</f>
        <v>0</v>
      </c>
      <c r="J159" s="20">
        <f>+H159/$E$169</f>
        <v>0</v>
      </c>
      <c r="K159" s="20">
        <f>+$L$170/60*E159*D159</f>
        <v>0</v>
      </c>
    </row>
    <row r="160" spans="1:11" ht="12.75">
      <c r="A160" s="91"/>
      <c r="B160" s="83"/>
      <c r="C160" s="84"/>
      <c r="D160" s="2">
        <f>ROUNDDOWN(IF(B160=0,0,+(B160)/C160),0)</f>
        <v>0</v>
      </c>
      <c r="E160" s="84"/>
      <c r="F160" s="84"/>
      <c r="G160" s="84"/>
      <c r="H160" s="2">
        <f>+G160*D160</f>
        <v>0</v>
      </c>
      <c r="I160" s="2">
        <f>+G160*F160*D160</f>
        <v>0</v>
      </c>
      <c r="J160" s="423">
        <f>+H160/$E$169</f>
        <v>0</v>
      </c>
      <c r="K160" s="423">
        <f>+$L$170/60*E160*D160</f>
        <v>0</v>
      </c>
    </row>
    <row r="161" spans="1:11" ht="12.75">
      <c r="A161" s="91"/>
      <c r="B161" s="83"/>
      <c r="C161" s="84"/>
      <c r="D161" s="2">
        <f>ROUNDDOWN(IF(B161=0,0,+(B161)/C161),0)</f>
        <v>0</v>
      </c>
      <c r="E161" s="84"/>
      <c r="F161" s="84"/>
      <c r="G161" s="84"/>
      <c r="H161" s="2">
        <f>+G161*D161</f>
        <v>0</v>
      </c>
      <c r="I161" s="2">
        <f>+G161*F161*D161</f>
        <v>0</v>
      </c>
      <c r="J161" s="423">
        <f>+H161/$E$169</f>
        <v>0</v>
      </c>
      <c r="K161" s="423">
        <f>+$L$170/60*E161*D161</f>
        <v>0</v>
      </c>
    </row>
    <row r="162" spans="1:11" ht="12.75">
      <c r="A162" s="91"/>
      <c r="B162" s="83"/>
      <c r="C162" s="84"/>
      <c r="D162" s="2">
        <f>ROUNDDOWN(IF(B162=0,0,+(B162)/C162),0)</f>
        <v>0</v>
      </c>
      <c r="E162" s="84"/>
      <c r="F162" s="84"/>
      <c r="G162" s="84"/>
      <c r="H162" s="2">
        <f>+G162*D162</f>
        <v>0</v>
      </c>
      <c r="I162" s="2">
        <f>+G162*F162*D162</f>
        <v>0</v>
      </c>
      <c r="J162" s="423">
        <f>+H162/$E$169</f>
        <v>0</v>
      </c>
      <c r="K162" s="423">
        <f>+$L$170/60*E162*D162</f>
        <v>0</v>
      </c>
    </row>
    <row r="163" spans="1:11" ht="12.75">
      <c r="A163" s="7"/>
      <c r="B163" s="7"/>
      <c r="C163" s="1"/>
      <c r="D163" s="1"/>
      <c r="H163" s="86">
        <f>SUM(H152:H162)</f>
        <v>6840</v>
      </c>
      <c r="I163" s="86">
        <f>SUM(I152:I162)</f>
        <v>6840</v>
      </c>
      <c r="J163" s="434">
        <f>ROUND(SUM(J152:J162),1)</f>
        <v>459.1</v>
      </c>
      <c r="K163" s="434">
        <f>ROUND(SUM(K152:K162),1)</f>
        <v>182.4</v>
      </c>
    </row>
    <row r="164" spans="1:12" ht="18">
      <c r="A164" s="7"/>
      <c r="B164" s="7"/>
      <c r="C164" s="1"/>
      <c r="D164" s="1"/>
      <c r="I164" s="773" t="s">
        <v>258</v>
      </c>
      <c r="J164" s="774"/>
      <c r="K164" s="775"/>
      <c r="L164" s="771" t="s">
        <v>130</v>
      </c>
    </row>
    <row r="165" spans="1:12" ht="18.75" thickBot="1">
      <c r="A165" s="7"/>
      <c r="B165" s="251" t="s">
        <v>263</v>
      </c>
      <c r="C165" s="252"/>
      <c r="D165" s="253"/>
      <c r="E165" s="421">
        <f>+I126</f>
        <v>28071.359999999993</v>
      </c>
      <c r="F165" s="6" t="s">
        <v>2</v>
      </c>
      <c r="I165" s="779" t="s">
        <v>337</v>
      </c>
      <c r="J165" s="780"/>
      <c r="K165" s="781"/>
      <c r="L165" s="772"/>
    </row>
    <row r="166" spans="1:12" ht="15.75" thickTop="1">
      <c r="A166" s="7"/>
      <c r="B166" s="251" t="s">
        <v>261</v>
      </c>
      <c r="C166" s="252"/>
      <c r="D166" s="253"/>
      <c r="E166" s="422">
        <f>+I163/E165</f>
        <v>0.24366471734892794</v>
      </c>
      <c r="F166" s="6" t="s">
        <v>264</v>
      </c>
      <c r="I166" s="184" t="s">
        <v>338</v>
      </c>
      <c r="J166" s="56"/>
      <c r="K166" s="4"/>
      <c r="L166" s="113">
        <v>3</v>
      </c>
    </row>
    <row r="167" spans="1:12" ht="18">
      <c r="A167" s="51"/>
      <c r="B167" s="7"/>
      <c r="C167" s="14"/>
      <c r="D167" s="14"/>
      <c r="E167" s="14"/>
      <c r="I167" s="184" t="s">
        <v>259</v>
      </c>
      <c r="J167" s="56"/>
      <c r="K167" s="4"/>
      <c r="L167" s="91">
        <v>0</v>
      </c>
    </row>
    <row r="168" spans="1:12" ht="18">
      <c r="A168" s="51"/>
      <c r="B168" s="7"/>
      <c r="C168" s="14"/>
      <c r="D168" s="14"/>
      <c r="E168" s="14"/>
      <c r="I168" s="184" t="s">
        <v>260</v>
      </c>
      <c r="J168" s="56"/>
      <c r="K168" s="4"/>
      <c r="L168" s="91">
        <v>5</v>
      </c>
    </row>
    <row r="169" spans="2:12" ht="16.5" thickBot="1">
      <c r="B169" s="738" t="s">
        <v>230</v>
      </c>
      <c r="C169" s="739"/>
      <c r="D169" s="740"/>
      <c r="E169" s="433">
        <v>14.9</v>
      </c>
      <c r="F169" s="25" t="s">
        <v>262</v>
      </c>
      <c r="I169" s="601" t="s">
        <v>339</v>
      </c>
      <c r="J169" s="602"/>
      <c r="K169" s="603"/>
      <c r="L169" s="604">
        <v>0</v>
      </c>
    </row>
    <row r="170" spans="2:12" ht="12.75">
      <c r="B170" s="676" t="s">
        <v>76</v>
      </c>
      <c r="C170" s="677"/>
      <c r="D170" s="678"/>
      <c r="E170" s="425">
        <v>1</v>
      </c>
      <c r="I170" s="782" t="s">
        <v>413</v>
      </c>
      <c r="J170" s="783"/>
      <c r="K170" s="784"/>
      <c r="L170" s="605">
        <f>SUM(L166:L169)</f>
        <v>8</v>
      </c>
    </row>
    <row r="171" spans="2:12" ht="12.75">
      <c r="B171" s="735" t="s">
        <v>236</v>
      </c>
      <c r="C171" s="736"/>
      <c r="D171" s="737"/>
      <c r="E171" s="457">
        <f>+E323</f>
        <v>76.04822289356302</v>
      </c>
      <c r="F171" s="6" t="s">
        <v>140</v>
      </c>
      <c r="I171" s="673" t="s">
        <v>131</v>
      </c>
      <c r="J171" s="674"/>
      <c r="K171" s="675"/>
      <c r="L171" s="425">
        <v>2</v>
      </c>
    </row>
    <row r="172" spans="2:11" ht="12.75">
      <c r="B172" s="6" t="s">
        <v>265</v>
      </c>
      <c r="I172" s="456"/>
      <c r="J172" s="456"/>
      <c r="K172" s="456"/>
    </row>
    <row r="173" spans="9:11" ht="12.75">
      <c r="I173" s="456"/>
      <c r="J173" s="456"/>
      <c r="K173" s="456"/>
    </row>
    <row r="174" ht="20.25">
      <c r="A174" s="589" t="s">
        <v>204</v>
      </c>
    </row>
    <row r="176" ht="21" thickBot="1">
      <c r="A176" s="204" t="s">
        <v>205</v>
      </c>
    </row>
    <row r="177" spans="4:6" ht="13.5" thickBot="1">
      <c r="D177" s="741" t="s">
        <v>267</v>
      </c>
      <c r="E177" s="742"/>
      <c r="F177" s="743"/>
    </row>
    <row r="178" spans="2:10" ht="12.75">
      <c r="B178" s="652" t="s">
        <v>266</v>
      </c>
      <c r="C178" s="653"/>
      <c r="D178" s="12"/>
      <c r="E178" s="59" t="s">
        <v>268</v>
      </c>
      <c r="F178" s="11"/>
      <c r="G178" s="776" t="s">
        <v>77</v>
      </c>
      <c r="H178" s="777"/>
      <c r="I178" s="778" t="s">
        <v>132</v>
      </c>
      <c r="J178" s="777"/>
    </row>
    <row r="179" spans="1:10" ht="13.5" thickBot="1">
      <c r="A179" s="186" t="s">
        <v>213</v>
      </c>
      <c r="B179" s="207" t="s">
        <v>70</v>
      </c>
      <c r="C179" s="260" t="s">
        <v>228</v>
      </c>
      <c r="D179" s="258" t="s">
        <v>70</v>
      </c>
      <c r="E179" s="254" t="s">
        <v>269</v>
      </c>
      <c r="F179" s="259" t="s">
        <v>228</v>
      </c>
      <c r="G179" s="264" t="s">
        <v>70</v>
      </c>
      <c r="H179" s="208" t="s">
        <v>228</v>
      </c>
      <c r="I179" s="207" t="s">
        <v>70</v>
      </c>
      <c r="J179" s="208" t="s">
        <v>228</v>
      </c>
    </row>
    <row r="180" spans="1:10" ht="13.5" thickTop="1">
      <c r="A180" s="198">
        <f aca="true" t="shared" si="25" ref="A180:A185">A105</f>
        <v>1</v>
      </c>
      <c r="B180" s="205">
        <f aca="true" t="shared" si="26" ref="B180:B185">+K105*J105</f>
        <v>32</v>
      </c>
      <c r="C180" s="261">
        <f aca="true" t="shared" si="27" ref="C180:C185">+J118</f>
        <v>228</v>
      </c>
      <c r="D180" s="205">
        <f aca="true" t="shared" si="28" ref="D180:D185">+H105</f>
        <v>96</v>
      </c>
      <c r="E180" s="256">
        <v>3</v>
      </c>
      <c r="F180" s="206">
        <f aca="true" t="shared" si="29" ref="F180:F185">+H118-E180*D118</f>
        <v>1140</v>
      </c>
      <c r="G180" s="265">
        <f aca="true" t="shared" si="30" ref="G180:G185">D180*$L$191</f>
        <v>222.0598324715163</v>
      </c>
      <c r="H180" s="206">
        <f aca="true" t="shared" si="31" ref="H180:H185">F180*$M$191</f>
        <v>2636.9605105992564</v>
      </c>
      <c r="I180" s="205">
        <f aca="true" t="shared" si="32" ref="I180:I185">IF(J105=0,0,IF(E105=0,0,+G180/J105/E105))</f>
        <v>111.02991623575815</v>
      </c>
      <c r="J180" s="206">
        <f aca="true" t="shared" si="33" ref="J180:J185">IF(L118=0,0,+H180/L118)</f>
        <v>138.78739529469772</v>
      </c>
    </row>
    <row r="181" spans="1:10" ht="12.75">
      <c r="A181" s="97">
        <f t="shared" si="25"/>
        <v>2</v>
      </c>
      <c r="B181" s="94">
        <f t="shared" si="26"/>
        <v>32</v>
      </c>
      <c r="C181" s="262">
        <f t="shared" si="27"/>
        <v>228</v>
      </c>
      <c r="D181" s="94">
        <f t="shared" si="28"/>
        <v>96</v>
      </c>
      <c r="E181" s="257">
        <v>3</v>
      </c>
      <c r="F181" s="206">
        <f t="shared" si="29"/>
        <v>1140</v>
      </c>
      <c r="G181" s="266">
        <f t="shared" si="30"/>
        <v>222.0598324715163</v>
      </c>
      <c r="H181" s="58">
        <f t="shared" si="31"/>
        <v>2636.9605105992564</v>
      </c>
      <c r="I181" s="94">
        <f t="shared" si="32"/>
        <v>111.02991623575815</v>
      </c>
      <c r="J181" s="58">
        <f t="shared" si="33"/>
        <v>138.78739529469772</v>
      </c>
    </row>
    <row r="182" spans="1:10" ht="12.75">
      <c r="A182" s="97">
        <f t="shared" si="25"/>
        <v>3</v>
      </c>
      <c r="B182" s="94">
        <f t="shared" si="26"/>
        <v>32</v>
      </c>
      <c r="C182" s="262">
        <f t="shared" si="27"/>
        <v>228</v>
      </c>
      <c r="D182" s="94">
        <f t="shared" si="28"/>
        <v>96</v>
      </c>
      <c r="E182" s="257">
        <v>3</v>
      </c>
      <c r="F182" s="206">
        <f t="shared" si="29"/>
        <v>1140</v>
      </c>
      <c r="G182" s="266">
        <f t="shared" si="30"/>
        <v>222.0598324715163</v>
      </c>
      <c r="H182" s="58">
        <f t="shared" si="31"/>
        <v>2636.9605105992564</v>
      </c>
      <c r="I182" s="94">
        <f t="shared" si="32"/>
        <v>111.02991623575815</v>
      </c>
      <c r="J182" s="58">
        <f t="shared" si="33"/>
        <v>138.78739529469772</v>
      </c>
    </row>
    <row r="183" spans="1:10" ht="12.75">
      <c r="A183" s="97">
        <f t="shared" si="25"/>
        <v>4</v>
      </c>
      <c r="B183" s="94">
        <f t="shared" si="26"/>
        <v>32</v>
      </c>
      <c r="C183" s="262">
        <f t="shared" si="27"/>
        <v>228</v>
      </c>
      <c r="D183" s="94">
        <f t="shared" si="28"/>
        <v>96</v>
      </c>
      <c r="E183" s="257">
        <v>3</v>
      </c>
      <c r="F183" s="206">
        <f t="shared" si="29"/>
        <v>1140</v>
      </c>
      <c r="G183" s="266">
        <f t="shared" si="30"/>
        <v>222.0598324715163</v>
      </c>
      <c r="H183" s="58">
        <f t="shared" si="31"/>
        <v>2636.9605105992564</v>
      </c>
      <c r="I183" s="94">
        <f t="shared" si="32"/>
        <v>111.02991623575815</v>
      </c>
      <c r="J183" s="58">
        <f t="shared" si="33"/>
        <v>138.78739529469772</v>
      </c>
    </row>
    <row r="184" spans="1:10" ht="12.75">
      <c r="A184" s="97">
        <f t="shared" si="25"/>
        <v>5</v>
      </c>
      <c r="B184" s="94">
        <f t="shared" si="26"/>
        <v>32</v>
      </c>
      <c r="C184" s="262">
        <f t="shared" si="27"/>
        <v>228</v>
      </c>
      <c r="D184" s="94">
        <f t="shared" si="28"/>
        <v>96</v>
      </c>
      <c r="E184" s="257">
        <v>3</v>
      </c>
      <c r="F184" s="206">
        <f t="shared" si="29"/>
        <v>1140</v>
      </c>
      <c r="G184" s="266">
        <f t="shared" si="30"/>
        <v>222.0598324715163</v>
      </c>
      <c r="H184" s="58">
        <f t="shared" si="31"/>
        <v>2636.9605105992564</v>
      </c>
      <c r="I184" s="94">
        <f t="shared" si="32"/>
        <v>111.02991623575815</v>
      </c>
      <c r="J184" s="58">
        <f t="shared" si="33"/>
        <v>138.78739529469772</v>
      </c>
    </row>
    <row r="185" spans="1:10" ht="13.5" thickBot="1">
      <c r="A185" s="97">
        <f t="shared" si="25"/>
        <v>6</v>
      </c>
      <c r="B185" s="94">
        <f t="shared" si="26"/>
        <v>32</v>
      </c>
      <c r="C185" s="262">
        <f t="shared" si="27"/>
        <v>228</v>
      </c>
      <c r="D185" s="94">
        <f t="shared" si="28"/>
        <v>96</v>
      </c>
      <c r="E185" s="257">
        <v>3</v>
      </c>
      <c r="F185" s="206">
        <f t="shared" si="29"/>
        <v>1140</v>
      </c>
      <c r="G185" s="266">
        <f t="shared" si="30"/>
        <v>222.0598324715163</v>
      </c>
      <c r="H185" s="58">
        <f t="shared" si="31"/>
        <v>2636.9605105992564</v>
      </c>
      <c r="I185" s="190">
        <f t="shared" si="32"/>
        <v>111.02991623575815</v>
      </c>
      <c r="J185" s="191">
        <f t="shared" si="33"/>
        <v>138.78739529469772</v>
      </c>
    </row>
    <row r="186" spans="2:13" ht="13.5" customHeight="1" thickBot="1">
      <c r="B186" s="95">
        <f>SUM(B180:B185)</f>
        <v>192</v>
      </c>
      <c r="C186" s="263">
        <f>SUM(C180:C185)</f>
        <v>1368</v>
      </c>
      <c r="D186" s="95">
        <f>SUM(D180:D185)</f>
        <v>576</v>
      </c>
      <c r="E186" s="255"/>
      <c r="F186" s="96">
        <f>SUM(F180:F185)</f>
        <v>6840</v>
      </c>
      <c r="G186" s="267">
        <f>SUM(G180:G185)</f>
        <v>1332.3589948290978</v>
      </c>
      <c r="H186" s="96">
        <f>SUM(H180:H185)</f>
        <v>15821.763063595537</v>
      </c>
      <c r="L186" s="717" t="s">
        <v>78</v>
      </c>
      <c r="M186" s="717"/>
    </row>
    <row r="187" spans="12:13" ht="13.5" customHeight="1">
      <c r="L187" s="718"/>
      <c r="M187" s="718"/>
    </row>
    <row r="188" spans="12:13" ht="12.75">
      <c r="L188" s="189" t="s">
        <v>70</v>
      </c>
      <c r="M188" s="189" t="s">
        <v>228</v>
      </c>
    </row>
    <row r="189" spans="11:13" ht="12.75">
      <c r="K189" s="15" t="s">
        <v>340</v>
      </c>
      <c r="L189" s="91">
        <v>1.01</v>
      </c>
      <c r="M189" s="91">
        <v>1.01</v>
      </c>
    </row>
    <row r="190" spans="11:13" ht="12.75">
      <c r="K190" s="15" t="s">
        <v>292</v>
      </c>
      <c r="L190" s="92">
        <f>+F104</f>
        <v>54</v>
      </c>
      <c r="M190" s="92">
        <f>+F104</f>
        <v>54</v>
      </c>
    </row>
    <row r="191" spans="11:13" ht="13.5" thickBot="1">
      <c r="K191" s="15" t="s">
        <v>341</v>
      </c>
      <c r="L191" s="245">
        <f>POWER(L190/1000,2)*PI()/4*1000*L189</f>
        <v>2.3131232549116283</v>
      </c>
      <c r="M191" s="245">
        <f>POWER(M190/1000,2)*PI()/4*1000*M189</f>
        <v>2.3131232549116283</v>
      </c>
    </row>
    <row r="192" spans="10:13" ht="15.75" thickBot="1">
      <c r="J192" s="268"/>
      <c r="K192" s="247" t="s">
        <v>342</v>
      </c>
      <c r="L192" s="246">
        <f>+G186/L111</f>
        <v>1.8036048771240765</v>
      </c>
      <c r="M192" s="246">
        <f>+H186/I126</f>
        <v>0.5636265241012741</v>
      </c>
    </row>
    <row r="193" spans="11:13" ht="15">
      <c r="K193" s="67" t="s">
        <v>399</v>
      </c>
      <c r="L193" s="284">
        <v>1</v>
      </c>
      <c r="M193" s="284">
        <v>1</v>
      </c>
    </row>
    <row r="194" ht="15">
      <c r="K194" s="67"/>
    </row>
    <row r="195" ht="20.25">
      <c r="A195" s="204" t="s">
        <v>206</v>
      </c>
    </row>
    <row r="197" ht="13.5" thickBot="1"/>
    <row r="198" spans="2:13" ht="18">
      <c r="B198" s="669" t="s">
        <v>79</v>
      </c>
      <c r="C198" s="670"/>
      <c r="D198" s="671"/>
      <c r="E198" s="669" t="s">
        <v>270</v>
      </c>
      <c r="F198" s="670"/>
      <c r="G198" s="671"/>
      <c r="I198" s="714" t="s">
        <v>271</v>
      </c>
      <c r="J198" s="715"/>
      <c r="K198" s="716"/>
      <c r="L198" s="721" t="s">
        <v>130</v>
      </c>
      <c r="M198" s="722"/>
    </row>
    <row r="199" spans="1:13" ht="18.75" thickBot="1">
      <c r="A199" s="186" t="s">
        <v>213</v>
      </c>
      <c r="B199" s="216" t="s">
        <v>80</v>
      </c>
      <c r="C199" s="114" t="s">
        <v>81</v>
      </c>
      <c r="D199" s="217" t="s">
        <v>8</v>
      </c>
      <c r="E199" s="216" t="s">
        <v>80</v>
      </c>
      <c r="F199" s="114" t="s">
        <v>81</v>
      </c>
      <c r="G199" s="217" t="s">
        <v>8</v>
      </c>
      <c r="I199" s="779"/>
      <c r="J199" s="780"/>
      <c r="K199" s="781"/>
      <c r="L199" s="114" t="s">
        <v>82</v>
      </c>
      <c r="M199" s="114" t="s">
        <v>228</v>
      </c>
    </row>
    <row r="200" spans="1:13" ht="13.5" thickTop="1">
      <c r="A200" s="198">
        <f aca="true" t="shared" si="34" ref="A200:A205">A105</f>
        <v>1</v>
      </c>
      <c r="B200" s="218">
        <f aca="true" t="shared" si="35" ref="B200:B205">($L$200+$L$201*$L$193+$L$202+$L$203)/60/$M$211/0.9*K105*E105*J105+J105*E105*$L$204/60</f>
        <v>3.3925925925925924</v>
      </c>
      <c r="C200" s="214">
        <f aca="true" t="shared" si="36" ref="C200:C205">+G180/$K$211+G180/$L$212</f>
        <v>1.603765456738729</v>
      </c>
      <c r="D200" s="219">
        <f aca="true" t="shared" si="37" ref="D200:D205">+C200+B200</f>
        <v>4.996358049331321</v>
      </c>
      <c r="E200" s="218">
        <f aca="true" t="shared" si="38" ref="E200:E205">($M$200+$M$201*$M$193+$M$202+$M$203)/60/$M$211/0.9*J118+$M$204*D118/60/$M$211/0.9</f>
        <v>19</v>
      </c>
      <c r="F200" s="214">
        <f aca="true" t="shared" si="39" ref="F200:F205">H180/$L$211+H180/$L$212</f>
        <v>16.40775428817315</v>
      </c>
      <c r="G200" s="219">
        <f aca="true" t="shared" si="40" ref="G200:G205">+F200+E200</f>
        <v>35.40775428817315</v>
      </c>
      <c r="I200" s="184" t="s">
        <v>152</v>
      </c>
      <c r="J200" s="56"/>
      <c r="K200" s="4"/>
      <c r="L200" s="113">
        <v>4</v>
      </c>
      <c r="M200" s="113">
        <v>3</v>
      </c>
    </row>
    <row r="201" spans="1:13" ht="12.75">
      <c r="A201" s="97">
        <f t="shared" si="34"/>
        <v>2</v>
      </c>
      <c r="B201" s="218">
        <f t="shared" si="35"/>
        <v>3.3925925925925924</v>
      </c>
      <c r="C201" s="214">
        <f t="shared" si="36"/>
        <v>1.603765456738729</v>
      </c>
      <c r="D201" s="220">
        <f t="shared" si="37"/>
        <v>4.996358049331321</v>
      </c>
      <c r="E201" s="218">
        <f t="shared" si="38"/>
        <v>19</v>
      </c>
      <c r="F201" s="214">
        <f t="shared" si="39"/>
        <v>16.40775428817315</v>
      </c>
      <c r="G201" s="220">
        <f t="shared" si="40"/>
        <v>35.40775428817315</v>
      </c>
      <c r="I201" s="184" t="s">
        <v>400</v>
      </c>
      <c r="J201" s="56"/>
      <c r="K201" s="4"/>
      <c r="L201" s="91">
        <v>2</v>
      </c>
      <c r="M201" s="91">
        <v>2</v>
      </c>
    </row>
    <row r="202" spans="1:13" ht="12.75">
      <c r="A202" s="97">
        <f t="shared" si="34"/>
        <v>3</v>
      </c>
      <c r="B202" s="218">
        <f t="shared" si="35"/>
        <v>3.3925925925925924</v>
      </c>
      <c r="C202" s="214">
        <f t="shared" si="36"/>
        <v>1.603765456738729</v>
      </c>
      <c r="D202" s="220">
        <f t="shared" si="37"/>
        <v>4.996358049331321</v>
      </c>
      <c r="E202" s="218">
        <f t="shared" si="38"/>
        <v>19</v>
      </c>
      <c r="F202" s="214">
        <f t="shared" si="39"/>
        <v>16.40775428817315</v>
      </c>
      <c r="G202" s="220">
        <f t="shared" si="40"/>
        <v>35.40775428817315</v>
      </c>
      <c r="I202" s="184" t="s">
        <v>133</v>
      </c>
      <c r="J202" s="56"/>
      <c r="K202" s="4"/>
      <c r="L202" s="91">
        <v>3</v>
      </c>
      <c r="M202" s="91">
        <v>2</v>
      </c>
    </row>
    <row r="203" spans="1:13" ht="12.75">
      <c r="A203" s="97">
        <f t="shared" si="34"/>
        <v>4</v>
      </c>
      <c r="B203" s="218">
        <f t="shared" si="35"/>
        <v>3.3925925925925924</v>
      </c>
      <c r="C203" s="214">
        <f t="shared" si="36"/>
        <v>1.603765456738729</v>
      </c>
      <c r="D203" s="220">
        <f t="shared" si="37"/>
        <v>4.996358049331321</v>
      </c>
      <c r="E203" s="218">
        <f t="shared" si="38"/>
        <v>19</v>
      </c>
      <c r="F203" s="214">
        <f t="shared" si="39"/>
        <v>16.40775428817315</v>
      </c>
      <c r="G203" s="220">
        <f t="shared" si="40"/>
        <v>35.40775428817315</v>
      </c>
      <c r="I203" s="184" t="s">
        <v>134</v>
      </c>
      <c r="J203" s="56"/>
      <c r="K203" s="4"/>
      <c r="L203" s="91">
        <v>2</v>
      </c>
      <c r="M203" s="91">
        <v>1</v>
      </c>
    </row>
    <row r="204" spans="1:13" ht="12.75">
      <c r="A204" s="97">
        <f t="shared" si="34"/>
        <v>5</v>
      </c>
      <c r="B204" s="218">
        <f t="shared" si="35"/>
        <v>3.3925925925925924</v>
      </c>
      <c r="C204" s="214">
        <f t="shared" si="36"/>
        <v>1.603765456738729</v>
      </c>
      <c r="D204" s="220">
        <f t="shared" si="37"/>
        <v>4.996358049331321</v>
      </c>
      <c r="E204" s="218">
        <f t="shared" si="38"/>
        <v>19</v>
      </c>
      <c r="F204" s="214">
        <f t="shared" si="39"/>
        <v>16.40775428817315</v>
      </c>
      <c r="G204" s="220">
        <f t="shared" si="40"/>
        <v>35.40775428817315</v>
      </c>
      <c r="I204" s="185" t="s">
        <v>244</v>
      </c>
      <c r="J204" s="224"/>
      <c r="K204" s="17"/>
      <c r="L204" s="91">
        <v>4</v>
      </c>
      <c r="M204" s="91">
        <v>3</v>
      </c>
    </row>
    <row r="205" spans="1:7" ht="12.75" customHeight="1" thickBot="1">
      <c r="A205" s="97">
        <f t="shared" si="34"/>
        <v>6</v>
      </c>
      <c r="B205" s="550">
        <f t="shared" si="35"/>
        <v>3.3925925925925924</v>
      </c>
      <c r="C205" s="467">
        <f t="shared" si="36"/>
        <v>1.603765456738729</v>
      </c>
      <c r="D205" s="222">
        <f t="shared" si="37"/>
        <v>4.996358049331321</v>
      </c>
      <c r="E205" s="550">
        <f t="shared" si="38"/>
        <v>19</v>
      </c>
      <c r="F205" s="221">
        <f t="shared" si="39"/>
        <v>16.40775428817315</v>
      </c>
      <c r="G205" s="222">
        <f t="shared" si="40"/>
        <v>35.40775428817315</v>
      </c>
    </row>
    <row r="206" spans="2:7" ht="13.5" thickBot="1">
      <c r="B206" s="18">
        <f>SUM(B200:B205)</f>
        <v>20.355555555555554</v>
      </c>
      <c r="D206" s="215">
        <f>SUM(D200:D205)</f>
        <v>29.978148295987925</v>
      </c>
      <c r="F206" s="18"/>
      <c r="G206" s="215">
        <f>SUM(G200:G205)</f>
        <v>212.4465257290389</v>
      </c>
    </row>
    <row r="210" spans="1:13" ht="13.5" thickBot="1">
      <c r="A210" s="223" t="s">
        <v>345</v>
      </c>
      <c r="B210" s="6" t="s">
        <v>347</v>
      </c>
      <c r="K210" s="114" t="s">
        <v>70</v>
      </c>
      <c r="L210" s="579" t="s">
        <v>228</v>
      </c>
      <c r="M210" s="114" t="s">
        <v>343</v>
      </c>
    </row>
    <row r="211" spans="2:13" ht="17.25" customHeight="1" thickBot="1" thickTop="1">
      <c r="B211" s="6" t="s">
        <v>346</v>
      </c>
      <c r="H211" s="209" t="s">
        <v>135</v>
      </c>
      <c r="I211" s="210"/>
      <c r="J211" s="211"/>
      <c r="K211" s="212">
        <v>200</v>
      </c>
      <c r="L211" s="213">
        <v>250</v>
      </c>
      <c r="M211" s="231">
        <v>2</v>
      </c>
    </row>
    <row r="212" spans="8:13" ht="15" customHeight="1" thickBot="1">
      <c r="H212" s="795" t="s">
        <v>344</v>
      </c>
      <c r="I212" s="796"/>
      <c r="J212" s="796"/>
      <c r="K212" s="797"/>
      <c r="L212" s="712">
        <v>450</v>
      </c>
      <c r="M212" s="723">
        <v>2</v>
      </c>
    </row>
    <row r="213" spans="1:13" ht="15.75" customHeight="1" thickBot="1">
      <c r="A213" s="51" t="s">
        <v>157</v>
      </c>
      <c r="B213" s="461" t="s">
        <v>348</v>
      </c>
      <c r="C213" s="462"/>
      <c r="D213" s="463"/>
      <c r="E213" s="465">
        <f>ROUND(E214/(I126/SUM(D118:D123)),1)</f>
        <v>4.7</v>
      </c>
      <c r="F213" s="6" t="s">
        <v>241</v>
      </c>
      <c r="H213" s="798"/>
      <c r="I213" s="799"/>
      <c r="J213" s="799"/>
      <c r="K213" s="800"/>
      <c r="L213" s="713"/>
      <c r="M213" s="724"/>
    </row>
    <row r="214" spans="1:6" ht="15.75" customHeight="1" thickBot="1">
      <c r="A214" s="51"/>
      <c r="B214" s="458" t="s">
        <v>136</v>
      </c>
      <c r="C214" s="459"/>
      <c r="D214" s="460"/>
      <c r="E214" s="464">
        <f>+F322</f>
        <v>289.4</v>
      </c>
      <c r="F214" s="6" t="s">
        <v>138</v>
      </c>
    </row>
    <row r="215" spans="1:5" ht="15.75" customHeight="1" thickBot="1">
      <c r="A215" s="51"/>
      <c r="B215" s="7"/>
      <c r="C215" s="14"/>
      <c r="D215" s="14"/>
      <c r="E215" s="14"/>
    </row>
    <row r="216" spans="1:6" ht="15.75" customHeight="1">
      <c r="A216" s="51" t="s">
        <v>27</v>
      </c>
      <c r="B216" s="461" t="s">
        <v>137</v>
      </c>
      <c r="C216" s="462"/>
      <c r="D216" s="463"/>
      <c r="E216" s="468">
        <f>+J111/E310</f>
        <v>1.0253125864252342</v>
      </c>
      <c r="F216" s="6" t="s">
        <v>139</v>
      </c>
    </row>
    <row r="217" spans="1:6" ht="15.75" customHeight="1" thickBot="1">
      <c r="A217" s="51"/>
      <c r="B217" s="458" t="s">
        <v>349</v>
      </c>
      <c r="C217" s="459"/>
      <c r="D217" s="460"/>
      <c r="E217" s="466">
        <f>+F321/L111*SUM(B105:B110)</f>
        <v>3.075937759275702</v>
      </c>
      <c r="F217" s="6" t="s">
        <v>140</v>
      </c>
    </row>
    <row r="218" spans="1:13" ht="13.5" thickBo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21" spans="1:12" ht="20.25">
      <c r="A221" s="21" t="s">
        <v>207</v>
      </c>
      <c r="J221" s="19"/>
      <c r="L221" s="19"/>
    </row>
    <row r="222" spans="10:12" ht="12.75">
      <c r="J222" s="19"/>
      <c r="L222" s="19"/>
    </row>
    <row r="223" spans="1:12" ht="15" customHeight="1">
      <c r="A223" s="588" t="s">
        <v>350</v>
      </c>
      <c r="L223" s="19"/>
    </row>
    <row r="224" spans="1:12" ht="15" customHeight="1" thickBot="1">
      <c r="A224" s="21"/>
      <c r="L224" s="19"/>
    </row>
    <row r="225" spans="1:12" ht="18" customHeight="1" thickBot="1">
      <c r="A225" s="648" t="s">
        <v>120</v>
      </c>
      <c r="B225" s="649"/>
      <c r="C225" s="364" t="s">
        <v>26</v>
      </c>
      <c r="D225" s="672" t="s">
        <v>352</v>
      </c>
      <c r="E225" s="672"/>
      <c r="F225" s="679" t="s">
        <v>27</v>
      </c>
      <c r="G225" s="680"/>
      <c r="H225" s="681"/>
      <c r="I225" s="679" t="s">
        <v>157</v>
      </c>
      <c r="J225" s="680"/>
      <c r="K225" s="681"/>
      <c r="L225" s="19"/>
    </row>
    <row r="226" spans="1:13" ht="15" customHeight="1">
      <c r="A226" s="650" t="s">
        <v>351</v>
      </c>
      <c r="B226" s="651"/>
      <c r="C226" s="362" t="s">
        <v>38</v>
      </c>
      <c r="D226" s="665" t="s">
        <v>156</v>
      </c>
      <c r="E226" s="665"/>
      <c r="F226" s="225" t="s">
        <v>28</v>
      </c>
      <c r="G226" s="226" t="s">
        <v>29</v>
      </c>
      <c r="H226" s="227" t="s">
        <v>30</v>
      </c>
      <c r="I226" s="225" t="s">
        <v>28</v>
      </c>
      <c r="J226" s="226" t="s">
        <v>29</v>
      </c>
      <c r="K226" s="227" t="s">
        <v>30</v>
      </c>
      <c r="L226" s="80" t="s">
        <v>17</v>
      </c>
      <c r="M226" s="80" t="s">
        <v>83</v>
      </c>
    </row>
    <row r="227" spans="3:13" ht="14.25">
      <c r="C227" s="3" t="s">
        <v>353</v>
      </c>
      <c r="D227" s="668" t="s">
        <v>354</v>
      </c>
      <c r="E227" s="668"/>
      <c r="F227" s="242"/>
      <c r="G227" s="233"/>
      <c r="H227" s="10" t="s">
        <v>353</v>
      </c>
      <c r="I227" s="242"/>
      <c r="J227" s="233"/>
      <c r="K227" s="363" t="s">
        <v>353</v>
      </c>
      <c r="L227" s="3" t="s">
        <v>353</v>
      </c>
      <c r="M227" s="3" t="s">
        <v>354</v>
      </c>
    </row>
    <row r="228" spans="1:13" ht="14.25">
      <c r="A228" s="654" t="s">
        <v>121</v>
      </c>
      <c r="B228" s="655"/>
      <c r="C228" s="57">
        <f>E35</f>
        <v>1</v>
      </c>
      <c r="D228" s="666">
        <f>+E63</f>
        <v>23</v>
      </c>
      <c r="E228" s="667"/>
      <c r="F228" s="242"/>
      <c r="G228" s="233"/>
      <c r="H228" s="228">
        <f>+L45</f>
        <v>2.48</v>
      </c>
      <c r="I228" s="242"/>
      <c r="J228" s="233"/>
      <c r="K228" s="228">
        <f>+L45</f>
        <v>2.48</v>
      </c>
      <c r="L228" s="243">
        <f>+E45</f>
        <v>2.17</v>
      </c>
      <c r="M228" s="243">
        <f>+K60</f>
        <v>2.4166666666666665</v>
      </c>
    </row>
    <row r="229" spans="1:13" ht="15" thickBot="1">
      <c r="A229" s="654" t="s">
        <v>84</v>
      </c>
      <c r="B229" s="655"/>
      <c r="C229" s="366">
        <f>COUNTIF(B118:B123,"&gt;0")</f>
        <v>6</v>
      </c>
      <c r="D229" s="663">
        <v>1</v>
      </c>
      <c r="E229" s="664"/>
      <c r="F229" s="367"/>
      <c r="G229" s="368"/>
      <c r="H229" s="369">
        <f>(E105*J105+E106*J106+E107*J107+E108*J108+E109*J109+E110*J110)</f>
        <v>12</v>
      </c>
      <c r="I229" s="367"/>
      <c r="J229" s="368"/>
      <c r="K229" s="369">
        <f>L124</f>
        <v>114</v>
      </c>
      <c r="L229" s="365">
        <f>COUNTIF(B152:B162,"&gt;0")</f>
        <v>6</v>
      </c>
      <c r="M229" s="365">
        <v>1</v>
      </c>
    </row>
    <row r="230" spans="3:13" ht="15.75" thickTop="1">
      <c r="C230" s="370">
        <f>+C229*C228</f>
        <v>6</v>
      </c>
      <c r="D230" s="656">
        <f>+D229*D228</f>
        <v>23</v>
      </c>
      <c r="E230" s="657"/>
      <c r="F230" s="371"/>
      <c r="G230" s="372"/>
      <c r="H230" s="373">
        <f>ROUND(+H229*H228,2)</f>
        <v>29.76</v>
      </c>
      <c r="I230" s="371"/>
      <c r="J230" s="372"/>
      <c r="K230" s="373">
        <f>ROUND(+K229*K228,2)</f>
        <v>282.72</v>
      </c>
      <c r="L230" s="374">
        <f>+L229*L228</f>
        <v>13.02</v>
      </c>
      <c r="M230" s="374">
        <f>+M229*M228</f>
        <v>2.4166666666666665</v>
      </c>
    </row>
    <row r="231" ht="13.5" thickBot="1"/>
    <row r="232" ht="12.75">
      <c r="M232" s="453" t="s">
        <v>8</v>
      </c>
    </row>
    <row r="233" ht="12.75">
      <c r="M233" s="580" t="s">
        <v>355</v>
      </c>
    </row>
    <row r="234" ht="15.75" thickBot="1">
      <c r="M234" s="454">
        <f>SUM(C230:M230)</f>
        <v>356.9166666666667</v>
      </c>
    </row>
    <row r="236" ht="13.5" thickBot="1"/>
    <row r="237" spans="1:12" ht="18" customHeight="1" thickBot="1">
      <c r="A237" s="648" t="s">
        <v>122</v>
      </c>
      <c r="B237" s="649"/>
      <c r="C237" s="364" t="s">
        <v>26</v>
      </c>
      <c r="D237" s="672" t="s">
        <v>352</v>
      </c>
      <c r="E237" s="672"/>
      <c r="F237" s="679" t="s">
        <v>27</v>
      </c>
      <c r="G237" s="680"/>
      <c r="H237" s="681"/>
      <c r="I237" s="679" t="s">
        <v>157</v>
      </c>
      <c r="J237" s="680"/>
      <c r="K237" s="681"/>
      <c r="L237" s="19"/>
    </row>
    <row r="238" spans="1:13" ht="15" customHeight="1">
      <c r="A238" s="650" t="s">
        <v>351</v>
      </c>
      <c r="B238" s="651"/>
      <c r="C238" s="362" t="s">
        <v>38</v>
      </c>
      <c r="D238" s="665" t="s">
        <v>156</v>
      </c>
      <c r="E238" s="665"/>
      <c r="F238" s="225" t="s">
        <v>28</v>
      </c>
      <c r="G238" s="226" t="s">
        <v>29</v>
      </c>
      <c r="H238" s="227" t="s">
        <v>30</v>
      </c>
      <c r="I238" s="225" t="s">
        <v>28</v>
      </c>
      <c r="J238" s="226" t="s">
        <v>29</v>
      </c>
      <c r="K238" s="227" t="s">
        <v>30</v>
      </c>
      <c r="L238" s="80" t="s">
        <v>17</v>
      </c>
      <c r="M238" s="80" t="s">
        <v>83</v>
      </c>
    </row>
    <row r="239" spans="2:12" ht="12.75">
      <c r="B239" s="414"/>
      <c r="C239" s="3" t="s">
        <v>356</v>
      </c>
      <c r="D239" s="729" t="s">
        <v>354</v>
      </c>
      <c r="E239" s="730"/>
      <c r="F239" s="3" t="s">
        <v>357</v>
      </c>
      <c r="G239" s="3" t="s">
        <v>357</v>
      </c>
      <c r="H239" s="363" t="s">
        <v>358</v>
      </c>
      <c r="I239" s="3" t="s">
        <v>357</v>
      </c>
      <c r="J239" s="3" t="s">
        <v>357</v>
      </c>
      <c r="K239" s="363" t="s">
        <v>358</v>
      </c>
      <c r="L239" s="363" t="s">
        <v>359</v>
      </c>
    </row>
    <row r="240" spans="1:13" ht="15.75" thickBot="1">
      <c r="A240" s="793" t="s">
        <v>123</v>
      </c>
      <c r="B240" s="794"/>
      <c r="C240" s="57">
        <f>+B94</f>
        <v>69.75</v>
      </c>
      <c r="D240" s="731"/>
      <c r="E240" s="732"/>
      <c r="F240" s="229">
        <f>+B142</f>
        <v>68.3191011235955</v>
      </c>
      <c r="G240" s="230">
        <f>+F142</f>
        <v>6.77191011235955</v>
      </c>
      <c r="H240" s="232">
        <f>D206</f>
        <v>29.978148295987925</v>
      </c>
      <c r="I240" s="229">
        <f>+C142</f>
        <v>622.3035971223021</v>
      </c>
      <c r="J240" s="230">
        <f>+H142</f>
        <v>6.205035971223021</v>
      </c>
      <c r="K240" s="232">
        <f>G206</f>
        <v>212.4465257290389</v>
      </c>
      <c r="L240" s="426">
        <f>+K163+J163</f>
        <v>641.5</v>
      </c>
      <c r="M240" s="234"/>
    </row>
    <row r="241" spans="1:13" ht="15.75" thickBot="1">
      <c r="A241" s="376" t="s">
        <v>406</v>
      </c>
      <c r="B241" s="377"/>
      <c r="C241" s="375">
        <f>+J87</f>
        <v>2</v>
      </c>
      <c r="D241" s="661">
        <f>+C63</f>
        <v>2</v>
      </c>
      <c r="E241" s="662"/>
      <c r="F241" s="581" t="s">
        <v>360</v>
      </c>
      <c r="G241" s="385" t="s">
        <v>85</v>
      </c>
      <c r="H241" s="384" t="str">
        <f>CONCATENATE(M211," men (loading)")</f>
        <v>2 men (loading)</v>
      </c>
      <c r="I241" s="581" t="s">
        <v>360</v>
      </c>
      <c r="J241" s="385" t="s">
        <v>85</v>
      </c>
      <c r="K241" s="384" t="str">
        <f>CONCATENATE(M211," men (loading)")</f>
        <v>2 men (loading)</v>
      </c>
      <c r="L241" s="384" t="str">
        <f>CONCATENATE(E170," man (drilling)")</f>
        <v>1 man (drilling)</v>
      </c>
      <c r="M241" s="337" t="str">
        <f>+I241</f>
        <v>One man</v>
      </c>
    </row>
    <row r="242" spans="1:12" ht="15" thickBot="1">
      <c r="A242" s="64"/>
      <c r="B242" s="64"/>
      <c r="F242" s="801" t="s">
        <v>86</v>
      </c>
      <c r="G242" s="720"/>
      <c r="H242" s="386" t="str">
        <f>CONCATENATE(M212," men (transp.)")</f>
        <v>2 men (transp.)</v>
      </c>
      <c r="I242" s="719" t="s">
        <v>86</v>
      </c>
      <c r="J242" s="720"/>
      <c r="K242" s="386" t="str">
        <f>CONCATENATE(M212," men (transp.)")</f>
        <v>2 men (transp.)</v>
      </c>
      <c r="L242" s="386" t="str">
        <f>CONCATENATE(L171," men (install.)")</f>
        <v>2 men (install.)</v>
      </c>
    </row>
    <row r="243" spans="1:13" ht="15.75" customHeight="1">
      <c r="A243" s="64"/>
      <c r="B243" s="64"/>
      <c r="M243" s="453" t="s">
        <v>8</v>
      </c>
    </row>
    <row r="244" spans="1:13" ht="15.75" customHeight="1">
      <c r="A244" s="64"/>
      <c r="B244" s="64"/>
      <c r="M244" s="580" t="s">
        <v>355</v>
      </c>
    </row>
    <row r="245" spans="1:13" ht="18" customHeight="1" thickBot="1">
      <c r="A245" s="64"/>
      <c r="B245" s="64"/>
      <c r="M245" s="454">
        <f>SUM(C240:M240)</f>
        <v>1657.274318354507</v>
      </c>
    </row>
    <row r="246" spans="1:2" ht="8.25" customHeight="1" thickBot="1">
      <c r="A246" s="64"/>
      <c r="B246" s="64"/>
    </row>
    <row r="247" spans="1:12" ht="13.5" thickBot="1">
      <c r="A247" s="64"/>
      <c r="B247" s="64"/>
      <c r="H247" s="417" t="s">
        <v>78</v>
      </c>
      <c r="K247" s="417" t="s">
        <v>78</v>
      </c>
      <c r="L247" s="417" t="s">
        <v>63</v>
      </c>
    </row>
    <row r="248" spans="1:13" ht="15.75" thickBot="1">
      <c r="A248" s="376" t="s">
        <v>361</v>
      </c>
      <c r="B248" s="377"/>
      <c r="C248" s="281">
        <v>2</v>
      </c>
      <c r="D248" s="661">
        <f>+C63</f>
        <v>2</v>
      </c>
      <c r="E248" s="662"/>
      <c r="F248" s="727">
        <v>1</v>
      </c>
      <c r="G248" s="728"/>
      <c r="H248" s="383">
        <v>2</v>
      </c>
      <c r="I248" s="725">
        <v>1</v>
      </c>
      <c r="J248" s="726"/>
      <c r="K248" s="383">
        <v>2</v>
      </c>
      <c r="L248" s="383">
        <v>1</v>
      </c>
      <c r="M248" s="378">
        <f>+I248</f>
        <v>1</v>
      </c>
    </row>
    <row r="249" spans="1:12" ht="12.75">
      <c r="A249" s="240"/>
      <c r="F249" s="688" t="s">
        <v>86</v>
      </c>
      <c r="G249" s="689"/>
      <c r="H249" s="417" t="s">
        <v>90</v>
      </c>
      <c r="I249" s="682" t="s">
        <v>86</v>
      </c>
      <c r="J249" s="682"/>
      <c r="K249" s="417" t="s">
        <v>90</v>
      </c>
      <c r="L249" s="417" t="s">
        <v>18</v>
      </c>
    </row>
    <row r="250" spans="1:12" ht="15" thickBot="1">
      <c r="A250" s="240"/>
      <c r="H250" s="383">
        <v>2</v>
      </c>
      <c r="K250" s="383">
        <v>2</v>
      </c>
      <c r="L250" s="383">
        <v>2</v>
      </c>
    </row>
    <row r="251" ht="12.75">
      <c r="A251" s="240"/>
    </row>
    <row r="252" spans="6:12" ht="13.5" thickBot="1">
      <c r="F252" s="14"/>
      <c r="G252" s="14"/>
      <c r="H252" s="56"/>
      <c r="I252" s="14"/>
      <c r="J252" s="14"/>
      <c r="K252" s="56"/>
      <c r="L252" s="56"/>
    </row>
    <row r="253" spans="1:12" ht="12.75">
      <c r="A253" s="65" t="s">
        <v>410</v>
      </c>
      <c r="F253" s="14"/>
      <c r="G253" s="14"/>
      <c r="H253" s="417" t="s">
        <v>78</v>
      </c>
      <c r="I253" s="14"/>
      <c r="J253" s="14"/>
      <c r="K253" s="417" t="s">
        <v>78</v>
      </c>
      <c r="L253" s="417" t="s">
        <v>63</v>
      </c>
    </row>
    <row r="254" spans="1:12" ht="13.5" thickBot="1">
      <c r="A254" s="65" t="s">
        <v>362</v>
      </c>
      <c r="H254" s="393">
        <f>ROUND(G186/K211/H248*M211+SUM(B200:B205),2)</f>
        <v>27.02</v>
      </c>
      <c r="K254" s="393">
        <f>ROUND(H186/L211/K248*M211+SUM(E200:E205),2)</f>
        <v>177.29</v>
      </c>
      <c r="L254" s="393">
        <f>ROUND(J163/L248,2)</f>
        <v>459.1</v>
      </c>
    </row>
    <row r="255" spans="1:12" ht="12.75">
      <c r="A255" s="65"/>
      <c r="H255" s="417" t="s">
        <v>90</v>
      </c>
      <c r="K255" s="417" t="s">
        <v>90</v>
      </c>
      <c r="L255" s="417" t="s">
        <v>18</v>
      </c>
    </row>
    <row r="256" spans="1:12" ht="13.5" thickBot="1">
      <c r="A256" s="65"/>
      <c r="H256" s="388">
        <f>ROUND(+G186/L212/H250*M212,2)</f>
        <v>2.96</v>
      </c>
      <c r="K256" s="388">
        <f>ROUND(+H186/L212/K250*M212,2)</f>
        <v>35.16</v>
      </c>
      <c r="L256" s="388">
        <f>ROUND(K163*L171/L250,2)</f>
        <v>182.4</v>
      </c>
    </row>
    <row r="257" spans="1:13" ht="15.75" thickTop="1">
      <c r="A257" s="654" t="s">
        <v>124</v>
      </c>
      <c r="B257" s="655"/>
      <c r="C257" s="62">
        <f>+C240/C248*C241</f>
        <v>69.75</v>
      </c>
      <c r="D257" s="705"/>
      <c r="E257" s="706"/>
      <c r="F257" s="380">
        <f>+F240/F248</f>
        <v>68.3191011235955</v>
      </c>
      <c r="G257" s="62">
        <f>+G240/F248</f>
        <v>6.77191011235955</v>
      </c>
      <c r="H257" s="387">
        <f>+H254+H256</f>
        <v>29.98</v>
      </c>
      <c r="I257" s="380">
        <f>+I240/I248</f>
        <v>622.3035971223021</v>
      </c>
      <c r="J257" s="63">
        <f>+J240/I248</f>
        <v>6.205035971223021</v>
      </c>
      <c r="K257" s="381">
        <f>H186/L211/K248*M211+H186/L212/K250*M212+SUM(E200:E205)</f>
        <v>212.4465257290389</v>
      </c>
      <c r="L257" s="381">
        <f>L254+L256</f>
        <v>641.5</v>
      </c>
      <c r="M257" s="453" t="s">
        <v>8</v>
      </c>
    </row>
    <row r="258" spans="1:13" ht="15.75">
      <c r="A258" s="598" t="s">
        <v>363</v>
      </c>
      <c r="B258" s="64"/>
      <c r="M258" s="580" t="s">
        <v>355</v>
      </c>
    </row>
    <row r="259" spans="1:13" ht="16.5" thickBot="1">
      <c r="A259" s="599" t="s">
        <v>393</v>
      </c>
      <c r="B259" s="400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454">
        <f>SUM(C257:L257)</f>
        <v>1657.276170058519</v>
      </c>
    </row>
    <row r="260" spans="1:13" ht="12.75">
      <c r="A260" s="1"/>
      <c r="B260" s="6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6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6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ht="18">
      <c r="A263" s="588" t="s">
        <v>208</v>
      </c>
    </row>
    <row r="264" ht="18">
      <c r="A264" s="61"/>
    </row>
    <row r="265" ht="18.75" thickBot="1">
      <c r="A265" s="61"/>
    </row>
    <row r="266" spans="1:12" ht="18" customHeight="1" thickBot="1">
      <c r="A266" s="379"/>
      <c r="B266" s="379"/>
      <c r="C266" s="364" t="s">
        <v>26</v>
      </c>
      <c r="D266" s="672" t="s">
        <v>352</v>
      </c>
      <c r="E266" s="672"/>
      <c r="F266" s="679" t="s">
        <v>27</v>
      </c>
      <c r="G266" s="680"/>
      <c r="H266" s="681"/>
      <c r="I266" s="679" t="s">
        <v>157</v>
      </c>
      <c r="J266" s="680"/>
      <c r="K266" s="681"/>
      <c r="L266" s="19"/>
    </row>
    <row r="267" spans="1:13" ht="15" customHeight="1">
      <c r="A267" s="379"/>
      <c r="B267" s="379"/>
      <c r="C267" s="362" t="s">
        <v>38</v>
      </c>
      <c r="D267" s="665" t="s">
        <v>156</v>
      </c>
      <c r="E267" s="665"/>
      <c r="F267" s="225" t="s">
        <v>28</v>
      </c>
      <c r="G267" s="226" t="s">
        <v>29</v>
      </c>
      <c r="H267" s="227" t="s">
        <v>30</v>
      </c>
      <c r="I267" s="225" t="s">
        <v>28</v>
      </c>
      <c r="J267" s="226" t="s">
        <v>29</v>
      </c>
      <c r="K267" s="227" t="s">
        <v>30</v>
      </c>
      <c r="L267" s="80" t="s">
        <v>17</v>
      </c>
      <c r="M267" s="80" t="s">
        <v>83</v>
      </c>
    </row>
    <row r="268" spans="1:13" ht="15">
      <c r="A268" s="399" t="s">
        <v>87</v>
      </c>
      <c r="C268" s="397">
        <f>+C230</f>
        <v>6</v>
      </c>
      <c r="D268" s="710">
        <f>+D230</f>
        <v>23</v>
      </c>
      <c r="E268" s="711"/>
      <c r="F268" s="390"/>
      <c r="G268" s="382"/>
      <c r="H268" s="220" t="str">
        <f>CONCATENATE(H230,CONCATENATE(" hr (",CONCATENATE(H248," men)")))</f>
        <v>29.76 hr (2 men)</v>
      </c>
      <c r="I268" s="390"/>
      <c r="J268" s="382"/>
      <c r="K268" s="220" t="str">
        <f>CONCATENATE(K230,CONCATENATE(" hr (",CONCATENATE(K248," men)")))</f>
        <v>282.72 hr (2 men)</v>
      </c>
      <c r="L268" s="424" t="str">
        <f>CONCATENATE(COUNTIF(B152:B162,"&gt;0")*E45," hr (",L250," men)")</f>
        <v>13.02 hr (2 men)</v>
      </c>
      <c r="M268" s="402">
        <f>+M230</f>
        <v>2.4166666666666665</v>
      </c>
    </row>
    <row r="269" spans="1:13" ht="15">
      <c r="A269" s="25"/>
      <c r="C269" s="16" t="s">
        <v>4</v>
      </c>
      <c r="D269" s="683" t="s">
        <v>4</v>
      </c>
      <c r="E269" s="683"/>
      <c r="F269" s="16" t="s">
        <v>4</v>
      </c>
      <c r="G269" s="16" t="s">
        <v>4</v>
      </c>
      <c r="H269" s="16" t="s">
        <v>4</v>
      </c>
      <c r="I269" s="16" t="s">
        <v>4</v>
      </c>
      <c r="J269" s="16" t="s">
        <v>4</v>
      </c>
      <c r="K269" s="16" t="s">
        <v>4</v>
      </c>
      <c r="L269" s="16" t="s">
        <v>4</v>
      </c>
      <c r="M269" s="16" t="s">
        <v>4</v>
      </c>
    </row>
    <row r="270" spans="1:13" ht="15">
      <c r="A270" s="399" t="s">
        <v>88</v>
      </c>
      <c r="C270" s="397">
        <f>+C257</f>
        <v>69.75</v>
      </c>
      <c r="D270" s="690"/>
      <c r="E270" s="691"/>
      <c r="F270" s="406">
        <f>+F257</f>
        <v>68.3191011235955</v>
      </c>
      <c r="G270" s="401">
        <f>+G257</f>
        <v>6.77191011235955</v>
      </c>
      <c r="H270" s="415" t="s">
        <v>78</v>
      </c>
      <c r="I270" s="402">
        <f>+I257</f>
        <v>622.3035971223021</v>
      </c>
      <c r="J270" s="401">
        <f>+J257</f>
        <v>6.205035971223021</v>
      </c>
      <c r="K270" s="415" t="s">
        <v>78</v>
      </c>
      <c r="L270" s="415" t="s">
        <v>63</v>
      </c>
      <c r="M270" s="234"/>
    </row>
    <row r="271" spans="3:13" ht="12.75">
      <c r="C271" s="391"/>
      <c r="D271" s="391"/>
      <c r="E271" s="6"/>
      <c r="F271" s="391"/>
      <c r="G271" s="391"/>
      <c r="H271" s="409" t="str">
        <f>CONCATENATE(H254,CONCATENATE("hr (",CONCATENATE(H248," men)")))</f>
        <v>27.02hr (2 men)</v>
      </c>
      <c r="I271" s="391"/>
      <c r="J271" s="391"/>
      <c r="K271" s="409" t="str">
        <f>CONCATENATE(K254,CONCATENATE(" hr (",CONCATENATE(K248," men)")))</f>
        <v>177.29 hr (2 men)</v>
      </c>
      <c r="L271" s="409" t="str">
        <f>CONCATENATE(J163,CONCATENATE(" hr (",CONCATENATE(E170," man)")))</f>
        <v>459.1 hr (1 man)</v>
      </c>
      <c r="M271" s="18"/>
    </row>
    <row r="272" spans="3:13" ht="12.75">
      <c r="C272" s="391"/>
      <c r="D272" s="391"/>
      <c r="E272" s="6"/>
      <c r="F272" s="391"/>
      <c r="G272" s="391"/>
      <c r="H272" s="416" t="s">
        <v>90</v>
      </c>
      <c r="I272" s="391"/>
      <c r="J272" s="391"/>
      <c r="K272" s="416" t="s">
        <v>90</v>
      </c>
      <c r="L272" s="416" t="s">
        <v>18</v>
      </c>
      <c r="M272" s="18"/>
    </row>
    <row r="273" spans="3:13" ht="12.75">
      <c r="C273" s="392" t="s">
        <v>5</v>
      </c>
      <c r="D273" s="707" t="s">
        <v>5</v>
      </c>
      <c r="E273" s="707"/>
      <c r="F273" s="392" t="s">
        <v>5</v>
      </c>
      <c r="G273" s="392" t="s">
        <v>5</v>
      </c>
      <c r="H273" s="409" t="str">
        <f>CONCATENATE(H256,CONCATENATE(" hr (",CONCATENATE(H250," men)")))</f>
        <v>2.96 hr (2 men)</v>
      </c>
      <c r="I273" s="392" t="s">
        <v>5</v>
      </c>
      <c r="J273" s="392" t="s">
        <v>5</v>
      </c>
      <c r="K273" s="409" t="str">
        <f>CONCATENATE(K256,CONCATENATE(" hr (",CONCATENATE(K250," men)")))</f>
        <v>35.16 hr (2 men)</v>
      </c>
      <c r="L273" s="409" t="str">
        <f>CONCATENATE(K163,CONCATENATE(" hr (",CONCATENATE(L171," men)")))</f>
        <v>182.4 hr (2 men)</v>
      </c>
      <c r="M273" s="392" t="s">
        <v>5</v>
      </c>
    </row>
    <row r="274" spans="1:13" ht="12.75">
      <c r="A274" s="395" t="s">
        <v>15</v>
      </c>
      <c r="C274" s="397">
        <f>+C268+C270</f>
        <v>75.75</v>
      </c>
      <c r="D274" s="684">
        <f>+D268+D270</f>
        <v>23</v>
      </c>
      <c r="E274" s="684"/>
      <c r="F274" s="406">
        <f>+F268+F270</f>
        <v>68.3191011235955</v>
      </c>
      <c r="G274" s="397">
        <f>+G268+G270</f>
        <v>6.77191011235955</v>
      </c>
      <c r="I274" s="406">
        <f>+I268+I270</f>
        <v>622.3035971223021</v>
      </c>
      <c r="J274" s="397">
        <f>+J268+J270</f>
        <v>6.205035971223021</v>
      </c>
      <c r="M274" s="406">
        <f>+M268+M270</f>
        <v>2.4166666666666665</v>
      </c>
    </row>
    <row r="275" spans="1:13" ht="12.75">
      <c r="A275" s="395"/>
      <c r="C275" s="16" t="s">
        <v>13</v>
      </c>
      <c r="D275" s="683" t="s">
        <v>13</v>
      </c>
      <c r="E275" s="683"/>
      <c r="F275" s="16" t="s">
        <v>13</v>
      </c>
      <c r="G275" s="16" t="s">
        <v>13</v>
      </c>
      <c r="H275" s="16"/>
      <c r="I275" s="16" t="s">
        <v>13</v>
      </c>
      <c r="J275" s="16" t="s">
        <v>13</v>
      </c>
      <c r="K275" s="16"/>
      <c r="M275" s="16" t="s">
        <v>13</v>
      </c>
    </row>
    <row r="276" spans="1:13" ht="12.75">
      <c r="A276" s="396" t="s">
        <v>361</v>
      </c>
      <c r="C276" s="398">
        <f>+C248</f>
        <v>2</v>
      </c>
      <c r="D276" s="685">
        <f>+D248</f>
        <v>2</v>
      </c>
      <c r="E276" s="686"/>
      <c r="F276" s="407">
        <f>+F248</f>
        <v>1</v>
      </c>
      <c r="G276" s="398">
        <f>+F248</f>
        <v>1</v>
      </c>
      <c r="H276" s="1"/>
      <c r="I276" s="407">
        <f>+I248</f>
        <v>1</v>
      </c>
      <c r="J276" s="398">
        <f>+I248</f>
        <v>1</v>
      </c>
      <c r="K276" s="1"/>
      <c r="L276" s="1"/>
      <c r="M276" s="436">
        <f>+M248</f>
        <v>1</v>
      </c>
    </row>
    <row r="277" spans="3:13" ht="13.5" thickBot="1">
      <c r="C277" s="413" t="s">
        <v>5</v>
      </c>
      <c r="D277" s="687" t="s">
        <v>5</v>
      </c>
      <c r="E277" s="687"/>
      <c r="F277" s="413" t="s">
        <v>5</v>
      </c>
      <c r="G277" s="413" t="s">
        <v>5</v>
      </c>
      <c r="H277" s="405"/>
      <c r="I277" s="413" t="s">
        <v>5</v>
      </c>
      <c r="J277" s="413" t="s">
        <v>5</v>
      </c>
      <c r="K277" s="405"/>
      <c r="L277" s="435"/>
      <c r="M277" s="413" t="s">
        <v>5</v>
      </c>
    </row>
    <row r="278" spans="1:13" ht="17.25" thickBot="1" thickTop="1">
      <c r="A278" s="394" t="s">
        <v>366</v>
      </c>
      <c r="B278" s="394"/>
      <c r="C278" s="403">
        <f>C274*C276</f>
        <v>151.5</v>
      </c>
      <c r="D278" s="708">
        <f>+D274*D276</f>
        <v>46</v>
      </c>
      <c r="E278" s="709"/>
      <c r="F278" s="408">
        <f>F274*F276</f>
        <v>68.3191011235955</v>
      </c>
      <c r="G278" s="404">
        <f>G274*G276</f>
        <v>6.77191011235955</v>
      </c>
      <c r="H278" s="411">
        <f>+H230*H248+H254*H248+H256*H250</f>
        <v>119.48</v>
      </c>
      <c r="I278" s="410">
        <f>I274*I276</f>
        <v>622.3035971223021</v>
      </c>
      <c r="J278" s="404">
        <f>J274*J276</f>
        <v>6.205035971223021</v>
      </c>
      <c r="K278" s="411">
        <f>+K230*K248+K254*K248+K256*K250</f>
        <v>990.3399999999999</v>
      </c>
      <c r="L278" s="411">
        <f>+L230*L250+L256*L250+L254*L248</f>
        <v>849.94</v>
      </c>
      <c r="M278" s="412">
        <f>M274*M276</f>
        <v>2.4166666666666665</v>
      </c>
    </row>
    <row r="279" ht="13.5" thickBot="1">
      <c r="M279" s="244" t="s">
        <v>365</v>
      </c>
    </row>
    <row r="280" spans="4:13" ht="16.5" thickBot="1">
      <c r="D280" s="25"/>
      <c r="L280" s="582" t="s">
        <v>364</v>
      </c>
      <c r="M280" s="389">
        <f>SUM(C278:M278)</f>
        <v>2863.2763109961465</v>
      </c>
    </row>
    <row r="281" spans="1:13" ht="15">
      <c r="A281" s="66" t="s">
        <v>89</v>
      </c>
      <c r="B281" s="66"/>
      <c r="C281" s="335">
        <v>8</v>
      </c>
      <c r="D281" s="25" t="s">
        <v>31</v>
      </c>
      <c r="M281" s="10" t="s">
        <v>4</v>
      </c>
    </row>
    <row r="282" spans="1:13" ht="15.75">
      <c r="A282" s="66"/>
      <c r="B282" s="66"/>
      <c r="D282" s="25"/>
      <c r="H282" s="67" t="s">
        <v>151</v>
      </c>
      <c r="I282" s="336">
        <v>0.15</v>
      </c>
      <c r="J282" s="6" t="s">
        <v>16</v>
      </c>
      <c r="L282" s="67" t="s">
        <v>367</v>
      </c>
      <c r="M282" s="69">
        <f>+M280*I282</f>
        <v>429.49144664942196</v>
      </c>
    </row>
    <row r="283" spans="1:13" ht="15">
      <c r="A283" s="66"/>
      <c r="B283" s="66"/>
      <c r="D283" s="25"/>
      <c r="M283" s="10" t="s">
        <v>5</v>
      </c>
    </row>
    <row r="284" spans="12:13" ht="15.75">
      <c r="L284" s="68" t="s">
        <v>368</v>
      </c>
      <c r="M284" s="69">
        <f>+M282+M280</f>
        <v>3292.7677576455685</v>
      </c>
    </row>
    <row r="285" ht="12.75">
      <c r="M285" s="10" t="s">
        <v>6</v>
      </c>
    </row>
    <row r="286" spans="12:13" ht="15.75">
      <c r="L286" s="68" t="s">
        <v>369</v>
      </c>
      <c r="M286" s="69">
        <f>+M284/(C281-E22)*E22</f>
        <v>1194.8203277316968</v>
      </c>
    </row>
    <row r="287" ht="13.5" thickBot="1">
      <c r="M287" s="10" t="s">
        <v>7</v>
      </c>
    </row>
    <row r="288" spans="2:13" ht="17.25" thickBot="1" thickTop="1">
      <c r="B288" s="788" t="s">
        <v>209</v>
      </c>
      <c r="C288" s="789"/>
      <c r="D288" s="789"/>
      <c r="E288" s="789"/>
      <c r="F288" s="789"/>
      <c r="G288" s="790"/>
      <c r="L288" s="68" t="s">
        <v>370</v>
      </c>
      <c r="M288" s="69">
        <f>+M284+M286</f>
        <v>4487.588085377265</v>
      </c>
    </row>
    <row r="289" spans="2:7" ht="23.25" customHeight="1" thickBot="1">
      <c r="B289" s="692" t="s">
        <v>210</v>
      </c>
      <c r="C289" s="693"/>
      <c r="D289" s="693"/>
      <c r="E289" s="694"/>
      <c r="F289" s="600" t="s">
        <v>372</v>
      </c>
      <c r="G289" s="697" t="s">
        <v>8</v>
      </c>
    </row>
    <row r="290" spans="2:13" ht="22.5" customHeight="1" thickBot="1">
      <c r="B290" s="584" t="s">
        <v>92</v>
      </c>
      <c r="C290" s="583" t="s">
        <v>150</v>
      </c>
      <c r="D290" s="695" t="s">
        <v>411</v>
      </c>
      <c r="E290" s="696"/>
      <c r="F290" s="585" t="s">
        <v>93</v>
      </c>
      <c r="G290" s="698"/>
      <c r="L290" s="68" t="s">
        <v>371</v>
      </c>
      <c r="M290" s="389">
        <f>+M288/C281</f>
        <v>560.9485106721581</v>
      </c>
    </row>
    <row r="291" spans="2:11" ht="18.75" customHeight="1" thickBot="1">
      <c r="B291" s="71">
        <f>+M280</f>
        <v>2863.2763109961465</v>
      </c>
      <c r="C291" s="26">
        <f>M282</f>
        <v>429.49144664942196</v>
      </c>
      <c r="D291" s="791">
        <f>M284</f>
        <v>3292.7677576455685</v>
      </c>
      <c r="E291" s="792"/>
      <c r="F291" s="72">
        <f>M286</f>
        <v>1194.8203277316968</v>
      </c>
      <c r="G291" s="73">
        <f>+D291+F291</f>
        <v>4487.588085377265</v>
      </c>
      <c r="I291" s="703" t="s">
        <v>14</v>
      </c>
      <c r="J291" s="704"/>
      <c r="K291" s="70">
        <f>+L111+I126</f>
        <v>28810.079999999994</v>
      </c>
    </row>
    <row r="292" spans="2:12" ht="21" customHeight="1" thickBot="1" thickTop="1">
      <c r="B292" s="606">
        <f>+B291/$G$291</f>
        <v>0.6380434782608696</v>
      </c>
      <c r="C292" s="606">
        <f>+C291/$G$291</f>
        <v>0.09570652173913044</v>
      </c>
      <c r="D292" s="699">
        <f>+C292+B292</f>
        <v>0.73375</v>
      </c>
      <c r="E292" s="700"/>
      <c r="F292" s="606">
        <f>+F291/$G$291</f>
        <v>0.26625</v>
      </c>
      <c r="G292" s="607">
        <f>+F292+D292</f>
        <v>1</v>
      </c>
      <c r="I292" s="703" t="s">
        <v>91</v>
      </c>
      <c r="J292" s="704"/>
      <c r="K292" s="74">
        <f>+K291/M290</f>
        <v>51.35958016089255</v>
      </c>
      <c r="L292" s="6" t="s">
        <v>141</v>
      </c>
    </row>
    <row r="293" ht="21" customHeight="1"/>
    <row r="294" ht="21" customHeight="1"/>
    <row r="295" ht="21" customHeight="1">
      <c r="A295" s="29" t="s">
        <v>94</v>
      </c>
    </row>
    <row r="296" ht="21" customHeight="1" thickBot="1"/>
    <row r="297" spans="2:8" ht="21" customHeight="1" thickBot="1">
      <c r="B297" s="307"/>
      <c r="C297" s="701" t="s">
        <v>373</v>
      </c>
      <c r="D297" s="702"/>
      <c r="F297" s="307"/>
      <c r="G297" s="308"/>
      <c r="H297" s="323" t="s">
        <v>96</v>
      </c>
    </row>
    <row r="298" spans="3:8" ht="21" customHeight="1" thickBot="1">
      <c r="C298" s="192" t="str">
        <f>CONCATENATE(F104," mm")</f>
        <v>54 mm</v>
      </c>
      <c r="D298" s="193" t="str">
        <f>CONCATENATE(G104," mm")</f>
        <v>102 mm</v>
      </c>
      <c r="E298" s="321" t="s">
        <v>66</v>
      </c>
      <c r="F298" s="321" t="s">
        <v>374</v>
      </c>
      <c r="G298" s="324" t="s">
        <v>95</v>
      </c>
      <c r="H298" s="322" t="s">
        <v>375</v>
      </c>
    </row>
    <row r="299" spans="2:10" ht="21" customHeight="1" thickBot="1" thickTop="1">
      <c r="B299" s="67" t="s">
        <v>27</v>
      </c>
      <c r="C299" s="313">
        <f>+H111</f>
        <v>576</v>
      </c>
      <c r="D299" s="314">
        <f>+I111</f>
        <v>144</v>
      </c>
      <c r="E299" s="309">
        <f>+L111</f>
        <v>738.72</v>
      </c>
      <c r="F299" s="310">
        <f>+E299/(C299+D299)</f>
        <v>1.026</v>
      </c>
      <c r="G299" s="311">
        <f>+G186</f>
        <v>1332.3589948290978</v>
      </c>
      <c r="H299" s="312">
        <f>+G299/E299</f>
        <v>1.8036048771240765</v>
      </c>
      <c r="I299" s="494"/>
      <c r="J299" s="13"/>
    </row>
    <row r="300" spans="2:10" ht="21" customHeight="1" thickBot="1">
      <c r="B300" s="67" t="s">
        <v>157</v>
      </c>
      <c r="C300" s="440">
        <f>+H124</f>
        <v>8208</v>
      </c>
      <c r="D300" s="441"/>
      <c r="E300" s="442">
        <f>+I126</f>
        <v>28071.359999999993</v>
      </c>
      <c r="F300" s="443">
        <f>+I127</f>
        <v>3.419999999999999</v>
      </c>
      <c r="G300" s="444">
        <f>+H186</f>
        <v>15821.763063595537</v>
      </c>
      <c r="H300" s="443">
        <f>+G300/E300</f>
        <v>0.5636265241012741</v>
      </c>
      <c r="I300" s="455" t="s">
        <v>376</v>
      </c>
      <c r="J300" s="455" t="s">
        <v>377</v>
      </c>
    </row>
    <row r="301" spans="2:10" ht="21" customHeight="1" thickBot="1" thickTop="1">
      <c r="B301" s="67" t="s">
        <v>17</v>
      </c>
      <c r="C301" s="427">
        <f>+H163</f>
        <v>6840</v>
      </c>
      <c r="D301" s="428"/>
      <c r="E301" s="429"/>
      <c r="F301" s="430"/>
      <c r="G301" s="431"/>
      <c r="H301" s="430"/>
      <c r="I301" s="432">
        <f>+I163</f>
        <v>6840</v>
      </c>
      <c r="J301" s="432">
        <f>SUMPRODUCT(D152:D162,E152:E162)</f>
        <v>1368</v>
      </c>
    </row>
    <row r="302" spans="2:8" ht="21" customHeight="1" thickBot="1">
      <c r="B302" s="315" t="s">
        <v>8</v>
      </c>
      <c r="C302" s="316">
        <f>SUM(C299:C301)</f>
        <v>15624</v>
      </c>
      <c r="D302" s="317">
        <f>SUM(D299:D300)</f>
        <v>144</v>
      </c>
      <c r="E302" s="318">
        <f>SUM(E299:E300)</f>
        <v>28810.079999999994</v>
      </c>
      <c r="F302" s="319">
        <f>+E302/(C302+D302)</f>
        <v>1.8271232876712324</v>
      </c>
      <c r="G302" s="320">
        <f>SUM(G299:G300)</f>
        <v>17154.122058424637</v>
      </c>
      <c r="H302" s="319">
        <f>+G302/E302</f>
        <v>0.5954208408454486</v>
      </c>
    </row>
    <row r="303" spans="1:9" ht="15.75">
      <c r="A303" s="9"/>
      <c r="B303" s="9"/>
      <c r="I303" s="1"/>
    </row>
    <row r="304" spans="1:9" ht="20.25">
      <c r="A304" s="589" t="s">
        <v>378</v>
      </c>
      <c r="B304" s="9"/>
      <c r="I304" s="1"/>
    </row>
    <row r="305" spans="1:9" ht="20.25">
      <c r="A305" s="21"/>
      <c r="B305" s="9"/>
      <c r="I305" s="1"/>
    </row>
    <row r="306" spans="1:9" ht="18">
      <c r="A306" s="352" t="s">
        <v>394</v>
      </c>
      <c r="I306" s="1"/>
    </row>
    <row r="307" spans="1:9" ht="18.75" thickBot="1">
      <c r="A307" s="341"/>
      <c r="I307" s="1"/>
    </row>
    <row r="308" spans="2:10" ht="18" customHeight="1" thickBot="1">
      <c r="B308" s="323" t="s">
        <v>379</v>
      </c>
      <c r="C308" s="658" t="s">
        <v>27</v>
      </c>
      <c r="D308" s="659"/>
      <c r="E308" s="660"/>
      <c r="F308" s="658" t="s">
        <v>157</v>
      </c>
      <c r="G308" s="659"/>
      <c r="H308" s="660"/>
      <c r="I308" s="658" t="s">
        <v>17</v>
      </c>
      <c r="J308" s="660"/>
    </row>
    <row r="309" spans="1:11" ht="15" customHeight="1" thickBot="1">
      <c r="A309" s="323" t="s">
        <v>407</v>
      </c>
      <c r="B309" s="358" t="s">
        <v>380</v>
      </c>
      <c r="C309" s="359" t="s">
        <v>28</v>
      </c>
      <c r="D309" s="360" t="s">
        <v>29</v>
      </c>
      <c r="E309" s="361" t="s">
        <v>30</v>
      </c>
      <c r="F309" s="359" t="s">
        <v>28</v>
      </c>
      <c r="G309" s="360" t="s">
        <v>29</v>
      </c>
      <c r="H309" s="361" t="s">
        <v>30</v>
      </c>
      <c r="I309" s="359" t="s">
        <v>28</v>
      </c>
      <c r="J309" s="438" t="s">
        <v>19</v>
      </c>
      <c r="K309" s="323" t="s">
        <v>83</v>
      </c>
    </row>
    <row r="310" spans="1:13" ht="13.5" thickBot="1">
      <c r="A310" s="346">
        <f>+C278/C281/C248*(1+I282)/(C281-E22)*C281</f>
        <v>14.840289608177171</v>
      </c>
      <c r="B310" s="347">
        <f>D278/C281/D248*(1+I282)/(C281-E22)*C281</f>
        <v>4.505962521294719</v>
      </c>
      <c r="C310" s="348">
        <f>F278/C281/F248*(1+I282)/(C281-E22)*C281</f>
        <v>13.384491702237618</v>
      </c>
      <c r="D310" s="349">
        <f>G278/C281/F248*(1+I282)/(C281-E22)*C281</f>
        <v>1.3266944853856015</v>
      </c>
      <c r="E310" s="350">
        <f>H278/C281/H248*(1+I282)/(C281-E22)*C281</f>
        <v>11.703747870528108</v>
      </c>
      <c r="F310" s="348">
        <f>I278/C281/I248*(1+I282)/(C281-E22)*C281</f>
        <v>121.91637763043397</v>
      </c>
      <c r="G310" s="349">
        <f>J278/C281/I248*(1+I282)/(C281-E22)*C281</f>
        <v>1.2156373708528916</v>
      </c>
      <c r="H310" s="350">
        <f>K278/C281/K248*(1+I282)/(C281-E22)*C281</f>
        <v>97.0094548551959</v>
      </c>
      <c r="I310" s="348">
        <f>L254/C281/L248*(1+I282)/(C281-E22)*C281</f>
        <v>89.94293015332198</v>
      </c>
      <c r="J310" s="439">
        <f>(L228+L256)/C281/M248*(1+I282)/(C281-E22)*C281</f>
        <v>36.15936967632027</v>
      </c>
      <c r="K310" s="347">
        <f>M278/C281/M248*(1+I282)/(C281-E22)*C281</f>
        <v>0.47345258375922766</v>
      </c>
      <c r="L310" s="351">
        <f>SUM(A310:K310)</f>
        <v>392.4784084575075</v>
      </c>
      <c r="M310" s="6" t="s">
        <v>97</v>
      </c>
    </row>
    <row r="311" spans="1:11" ht="14.25">
      <c r="A311" s="10" t="str">
        <f>CONCATENATE(" with ",C276," men")</f>
        <v> with 2 men</v>
      </c>
      <c r="B311" s="549" t="str">
        <f>CONCATENATE(" with ",D276," men")</f>
        <v> with 2 men</v>
      </c>
      <c r="C311" s="549" t="str">
        <f>CONCATENATE(" with ",F276," man")</f>
        <v> with 1 man</v>
      </c>
      <c r="D311" s="549" t="str">
        <f>CONCATENATE(" with ",F276," man")</f>
        <v> with 1 man</v>
      </c>
      <c r="E311" s="549" t="str">
        <f>CONCATENATE(" with ",H248," men")</f>
        <v> with 2 men</v>
      </c>
      <c r="F311" s="549" t="str">
        <f>CONCATENATE(" with ",I276," man")</f>
        <v> with 1 man</v>
      </c>
      <c r="G311" s="549" t="str">
        <f>CONCATENATE(" with ",J276," man")</f>
        <v> with 1 man</v>
      </c>
      <c r="H311" s="549" t="str">
        <f>CONCATENATE(" with ",K248," men")</f>
        <v> with 2 men</v>
      </c>
      <c r="I311" s="549" t="str">
        <f>CONCATENATE(" with ",E170," man")</f>
        <v> with 1 man</v>
      </c>
      <c r="J311" s="549" t="str">
        <f>CONCATENATE(" with ",L171," men")</f>
        <v> with 2 men</v>
      </c>
      <c r="K311" s="549" t="str">
        <f>CONCATENATE(" with ",M248," man")</f>
        <v> with 1 man</v>
      </c>
    </row>
    <row r="312" ht="12.75">
      <c r="A312" s="10"/>
    </row>
    <row r="313" ht="12.75">
      <c r="A313" s="10"/>
    </row>
    <row r="314" ht="12.75">
      <c r="A314" s="10"/>
    </row>
    <row r="315" ht="18.75" thickBot="1">
      <c r="A315" s="334" t="s">
        <v>39</v>
      </c>
    </row>
    <row r="316" spans="6:8" ht="19.5" customHeight="1">
      <c r="F316" s="323" t="s">
        <v>98</v>
      </c>
      <c r="G316" s="323" t="s">
        <v>381</v>
      </c>
      <c r="H316" s="323" t="s">
        <v>18</v>
      </c>
    </row>
    <row r="317" spans="6:8" ht="18" customHeight="1" thickBot="1">
      <c r="F317" s="358" t="s">
        <v>54</v>
      </c>
      <c r="G317" s="358" t="s">
        <v>380</v>
      </c>
      <c r="H317" s="358" t="s">
        <v>99</v>
      </c>
    </row>
    <row r="318" spans="6:8" ht="20.25" customHeight="1" thickBot="1">
      <c r="F318" s="476" t="str">
        <f>CONCATENATE(ROUND(1/(A310*C276/SUM(B118:B123)),1)," meters/ms")</f>
        <v>18.8 meters/ms</v>
      </c>
      <c r="G318" s="476" t="str">
        <f>CONCATENATE(ROUND(B310*D276,1)," manshifts/sub")</f>
        <v>9 manshifts/sub</v>
      </c>
      <c r="H318" s="476" t="str">
        <f>CONCATENATE(ROUND(I301/J310/L250,1)," meters/ms")</f>
        <v>94.6 meters/ms</v>
      </c>
    </row>
    <row r="319" ht="20.25" customHeight="1" thickBot="1">
      <c r="F319" s="10"/>
    </row>
    <row r="320" spans="3:9" ht="30.75" customHeight="1" thickBot="1">
      <c r="C320" s="25"/>
      <c r="D320" s="25"/>
      <c r="E320" s="557" t="s">
        <v>382</v>
      </c>
      <c r="F320" s="785" t="s">
        <v>78</v>
      </c>
      <c r="G320" s="786"/>
      <c r="H320" s="786"/>
      <c r="I320" s="787"/>
    </row>
    <row r="321" spans="3:9" ht="15.75" thickTop="1">
      <c r="C321" s="646" t="s">
        <v>27</v>
      </c>
      <c r="D321" s="647"/>
      <c r="E321" s="342">
        <f>ROUND(+C299/C310/F248,1)</f>
        <v>43</v>
      </c>
      <c r="F321" s="492">
        <f>L111/E310</f>
        <v>63.118242820337414</v>
      </c>
      <c r="G321" s="471" t="s">
        <v>138</v>
      </c>
      <c r="H321" s="474">
        <f>+E217</f>
        <v>3.075937759275702</v>
      </c>
      <c r="I321" s="470" t="s">
        <v>140</v>
      </c>
    </row>
    <row r="322" spans="3:11" ht="15.75" thickBot="1">
      <c r="C322" s="344"/>
      <c r="D322" s="437" t="s">
        <v>157</v>
      </c>
      <c r="E322" s="343">
        <f>ROUND(+C300/F310/I248,1)</f>
        <v>67.3</v>
      </c>
      <c r="F322" s="493">
        <f>ROUND(I126/H310,1)</f>
        <v>289.4</v>
      </c>
      <c r="G322" s="472" t="s">
        <v>138</v>
      </c>
      <c r="H322" s="475">
        <f>+E213</f>
        <v>4.7</v>
      </c>
      <c r="I322" s="473" t="s">
        <v>241</v>
      </c>
      <c r="K322" s="469"/>
    </row>
    <row r="323" spans="3:5" ht="15.75" thickBot="1">
      <c r="C323" s="344"/>
      <c r="D323" s="437" t="s">
        <v>17</v>
      </c>
      <c r="E323" s="343">
        <f>+C301/I310/L248</f>
        <v>76.04822289356302</v>
      </c>
    </row>
    <row r="324" spans="5:6" ht="12.75">
      <c r="E324" s="60" t="s">
        <v>100</v>
      </c>
      <c r="F324" s="345"/>
    </row>
    <row r="326" ht="18">
      <c r="A326" s="334"/>
    </row>
  </sheetData>
  <mergeCells count="119">
    <mergeCell ref="F101:I101"/>
    <mergeCell ref="G56:H56"/>
    <mergeCell ref="E131:H131"/>
    <mergeCell ref="H102:I102"/>
    <mergeCell ref="F102:G102"/>
    <mergeCell ref="C37:C38"/>
    <mergeCell ref="D37:D38"/>
    <mergeCell ref="E37:E38"/>
    <mergeCell ref="K28:K29"/>
    <mergeCell ref="F320:I320"/>
    <mergeCell ref="G132:H132"/>
    <mergeCell ref="I199:K199"/>
    <mergeCell ref="I292:J292"/>
    <mergeCell ref="B288:G288"/>
    <mergeCell ref="D291:E291"/>
    <mergeCell ref="A240:B240"/>
    <mergeCell ref="H212:K213"/>
    <mergeCell ref="F242:G242"/>
    <mergeCell ref="B132:C132"/>
    <mergeCell ref="L28:L29"/>
    <mergeCell ref="J28:J29"/>
    <mergeCell ref="C51:C52"/>
    <mergeCell ref="D51:D52"/>
    <mergeCell ref="E51:E52"/>
    <mergeCell ref="I51:I52"/>
    <mergeCell ref="J51:J52"/>
    <mergeCell ref="D28:D29"/>
    <mergeCell ref="C28:C29"/>
    <mergeCell ref="E28:E29"/>
    <mergeCell ref="L164:L165"/>
    <mergeCell ref="I164:K164"/>
    <mergeCell ref="G178:H178"/>
    <mergeCell ref="I178:J178"/>
    <mergeCell ref="I165:K165"/>
    <mergeCell ref="I170:K170"/>
    <mergeCell ref="C10:C11"/>
    <mergeCell ref="D10:D11"/>
    <mergeCell ref="E10:E11"/>
    <mergeCell ref="H10:K11"/>
    <mergeCell ref="J131:K131"/>
    <mergeCell ref="E132:F132"/>
    <mergeCell ref="K51:K52"/>
    <mergeCell ref="G53:H53"/>
    <mergeCell ref="J101:L101"/>
    <mergeCell ref="B103:E103"/>
    <mergeCell ref="G57:H57"/>
    <mergeCell ref="G58:H58"/>
    <mergeCell ref="E87:G87"/>
    <mergeCell ref="G55:H55"/>
    <mergeCell ref="A59:B59"/>
    <mergeCell ref="A61:B61"/>
    <mergeCell ref="G54:H54"/>
    <mergeCell ref="A60:B60"/>
    <mergeCell ref="B144:C144"/>
    <mergeCell ref="A225:B225"/>
    <mergeCell ref="B171:D171"/>
    <mergeCell ref="B198:D198"/>
    <mergeCell ref="B169:D169"/>
    <mergeCell ref="D177:F177"/>
    <mergeCell ref="I248:J248"/>
    <mergeCell ref="F248:G248"/>
    <mergeCell ref="D238:E238"/>
    <mergeCell ref="D239:E239"/>
    <mergeCell ref="D240:E240"/>
    <mergeCell ref="L186:M187"/>
    <mergeCell ref="A228:B228"/>
    <mergeCell ref="A238:B238"/>
    <mergeCell ref="I242:J242"/>
    <mergeCell ref="D241:E241"/>
    <mergeCell ref="D237:E237"/>
    <mergeCell ref="F237:H237"/>
    <mergeCell ref="L198:M198"/>
    <mergeCell ref="M212:M213"/>
    <mergeCell ref="I237:K237"/>
    <mergeCell ref="L212:L213"/>
    <mergeCell ref="I225:K225"/>
    <mergeCell ref="F225:H225"/>
    <mergeCell ref="I198:K198"/>
    <mergeCell ref="I291:J291"/>
    <mergeCell ref="F266:H266"/>
    <mergeCell ref="D257:E257"/>
    <mergeCell ref="D273:E273"/>
    <mergeCell ref="D269:E269"/>
    <mergeCell ref="D278:E278"/>
    <mergeCell ref="D268:E268"/>
    <mergeCell ref="D266:E266"/>
    <mergeCell ref="D267:E267"/>
    <mergeCell ref="F308:H308"/>
    <mergeCell ref="D270:E270"/>
    <mergeCell ref="B289:E289"/>
    <mergeCell ref="D290:E290"/>
    <mergeCell ref="G289:G290"/>
    <mergeCell ref="D292:E292"/>
    <mergeCell ref="C297:D297"/>
    <mergeCell ref="I308:J308"/>
    <mergeCell ref="I171:K171"/>
    <mergeCell ref="B170:D170"/>
    <mergeCell ref="I266:K266"/>
    <mergeCell ref="I249:J249"/>
    <mergeCell ref="D275:E275"/>
    <mergeCell ref="D274:E274"/>
    <mergeCell ref="D276:E276"/>
    <mergeCell ref="D277:E277"/>
    <mergeCell ref="F249:G249"/>
    <mergeCell ref="D226:E226"/>
    <mergeCell ref="D228:E228"/>
    <mergeCell ref="D227:E227"/>
    <mergeCell ref="E198:G198"/>
    <mergeCell ref="D225:E225"/>
    <mergeCell ref="C321:D321"/>
    <mergeCell ref="A237:B237"/>
    <mergeCell ref="A226:B226"/>
    <mergeCell ref="B178:C178"/>
    <mergeCell ref="A229:B229"/>
    <mergeCell ref="D230:E230"/>
    <mergeCell ref="C308:E308"/>
    <mergeCell ref="A257:B257"/>
    <mergeCell ref="D248:E248"/>
    <mergeCell ref="D229:E229"/>
  </mergeCells>
  <printOptions/>
  <pageMargins left="0.75" right="0.75" top="1" bottom="1" header="0.5" footer="0.5"/>
  <pageSetup cellComments="asDisplayed" fitToHeight="4" fitToWidth="2" horizontalDpi="600" verticalDpi="600" orientation="landscape" scale="55" r:id="rId4"/>
  <headerFooter alignWithMargins="0">
    <oddFooter>&amp;LFile:  &amp;F
Sheet:  &amp;A
Page &amp;P of &amp;N&amp;CExperimental Mine
Val-d'Or&amp;R&amp;D
&amp;T</oddFooter>
  </headerFooter>
  <rowBreaks count="7" manualBreakCount="7">
    <brk id="46" max="12" man="1"/>
    <brk id="95" max="12" man="1"/>
    <brk id="145" max="12" man="1"/>
    <brk id="193" max="12" man="1"/>
    <brk id="218" max="12" man="1"/>
    <brk id="259" max="12" man="1"/>
    <brk id="293" max="12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Z94"/>
  <sheetViews>
    <sheetView zoomScale="50" zoomScaleNormal="50" workbookViewId="0" topLeftCell="A1">
      <selection activeCell="A2" sqref="A2"/>
    </sheetView>
  </sheetViews>
  <sheetFormatPr defaultColWidth="9.140625" defaultRowHeight="12.75"/>
  <cols>
    <col min="1" max="1" width="16.57421875" style="143" customWidth="1"/>
    <col min="2" max="2" width="18.28125" style="143" customWidth="1"/>
    <col min="3" max="3" width="22.421875" style="143" customWidth="1"/>
    <col min="4" max="4" width="11.57421875" style="143" customWidth="1"/>
    <col min="5" max="5" width="13.7109375" style="143" customWidth="1"/>
    <col min="6" max="6" width="16.8515625" style="143" customWidth="1"/>
    <col min="7" max="7" width="11.57421875" style="143" bestFit="1" customWidth="1"/>
    <col min="8" max="8" width="13.140625" style="143" customWidth="1"/>
    <col min="9" max="9" width="19.140625" style="143" customWidth="1"/>
    <col min="10" max="10" width="13.7109375" style="143" customWidth="1"/>
    <col min="11" max="11" width="16.00390625" style="143" customWidth="1"/>
    <col min="12" max="12" width="13.140625" style="143" customWidth="1"/>
    <col min="13" max="13" width="13.28125" style="143" customWidth="1"/>
    <col min="14" max="14" width="11.421875" style="143" customWidth="1"/>
    <col min="15" max="15" width="12.00390625" style="143" customWidth="1"/>
    <col min="16" max="16" width="10.7109375" style="143" customWidth="1"/>
    <col min="17" max="17" width="9.7109375" style="143" customWidth="1"/>
    <col min="18" max="18" width="8.8515625" style="143" customWidth="1"/>
    <col min="19" max="19" width="5.00390625" style="143" customWidth="1"/>
    <col min="20" max="20" width="4.8515625" style="143" customWidth="1"/>
    <col min="21" max="16384" width="9.140625" style="143" customWidth="1"/>
  </cols>
  <sheetData>
    <row r="1" ht="18"/>
    <row r="2" ht="31.5">
      <c r="A2" s="293" t="s">
        <v>157</v>
      </c>
    </row>
    <row r="3" spans="1:15" ht="31.5">
      <c r="A3" s="294" t="s">
        <v>401</v>
      </c>
      <c r="O3" s="418" t="s">
        <v>416</v>
      </c>
    </row>
    <row r="4" ht="22.5">
      <c r="A4" s="142"/>
    </row>
    <row r="5" spans="1:19" ht="18">
      <c r="A5" s="144"/>
      <c r="B5" s="145"/>
      <c r="C5" s="145"/>
      <c r="D5" s="145"/>
      <c r="E5" s="145"/>
      <c r="F5" s="145"/>
      <c r="G5" s="145"/>
      <c r="H5" s="146"/>
      <c r="J5" s="159"/>
      <c r="K5" s="160"/>
      <c r="L5" s="160"/>
      <c r="M5" s="160"/>
      <c r="N5" s="160"/>
      <c r="O5" s="160"/>
      <c r="P5" s="160"/>
      <c r="Q5" s="160"/>
      <c r="R5" s="160"/>
      <c r="S5" s="146"/>
    </row>
    <row r="6" spans="1:21" ht="23.25">
      <c r="A6" s="119" t="s">
        <v>331</v>
      </c>
      <c r="B6" s="149"/>
      <c r="C6" s="149"/>
      <c r="D6" s="149"/>
      <c r="E6" s="149"/>
      <c r="F6" s="149"/>
      <c r="G6" s="149"/>
      <c r="H6" s="150"/>
      <c r="J6" s="151"/>
      <c r="K6" s="118" t="s">
        <v>296</v>
      </c>
      <c r="L6" s="149"/>
      <c r="M6" s="149"/>
      <c r="N6" s="149"/>
      <c r="O6" s="149"/>
      <c r="P6" s="149"/>
      <c r="Q6" s="149"/>
      <c r="S6" s="152"/>
      <c r="U6" s="78"/>
    </row>
    <row r="7" spans="1:21" ht="20.25">
      <c r="A7" s="151"/>
      <c r="B7" s="149"/>
      <c r="C7" s="149"/>
      <c r="D7" s="149"/>
      <c r="E7" s="149"/>
      <c r="F7" s="149"/>
      <c r="G7" s="340" t="s">
        <v>23</v>
      </c>
      <c r="H7" s="150"/>
      <c r="J7" s="151"/>
      <c r="K7" s="149"/>
      <c r="L7" s="149"/>
      <c r="M7" s="149"/>
      <c r="N7" s="149"/>
      <c r="O7" s="149"/>
      <c r="P7" s="340" t="s">
        <v>1</v>
      </c>
      <c r="Q7" s="149"/>
      <c r="S7" s="152"/>
      <c r="U7" s="78"/>
    </row>
    <row r="8" spans="1:21" ht="18">
      <c r="A8" s="151"/>
      <c r="B8" s="813" t="s">
        <v>293</v>
      </c>
      <c r="C8" s="813"/>
      <c r="D8" s="813"/>
      <c r="E8" s="813"/>
      <c r="F8" s="813"/>
      <c r="G8" s="153">
        <v>0.4</v>
      </c>
      <c r="H8" s="150"/>
      <c r="J8" s="151"/>
      <c r="K8" s="149"/>
      <c r="L8" s="821" t="s">
        <v>317</v>
      </c>
      <c r="M8" s="822"/>
      <c r="N8" s="822"/>
      <c r="O8" s="823"/>
      <c r="P8" s="153">
        <v>0.5</v>
      </c>
      <c r="Q8" s="149"/>
      <c r="S8" s="152"/>
      <c r="U8" s="78"/>
    </row>
    <row r="9" spans="1:19" ht="18">
      <c r="A9" s="151"/>
      <c r="B9" s="814" t="s">
        <v>272</v>
      </c>
      <c r="C9" s="814"/>
      <c r="D9" s="814"/>
      <c r="E9" s="814"/>
      <c r="F9" s="814"/>
      <c r="G9" s="153">
        <v>1.5</v>
      </c>
      <c r="H9" s="150"/>
      <c r="J9" s="151"/>
      <c r="K9" s="149"/>
      <c r="L9" s="821" t="s">
        <v>284</v>
      </c>
      <c r="M9" s="822"/>
      <c r="N9" s="822"/>
      <c r="O9" s="823"/>
      <c r="P9" s="153">
        <v>0.4</v>
      </c>
      <c r="Q9" s="149"/>
      <c r="S9" s="152"/>
    </row>
    <row r="10" spans="1:19" ht="18">
      <c r="A10" s="151"/>
      <c r="B10" s="813" t="s">
        <v>273</v>
      </c>
      <c r="C10" s="813"/>
      <c r="D10" s="813"/>
      <c r="E10" s="813"/>
      <c r="F10" s="813"/>
      <c r="G10" s="153">
        <v>0.4</v>
      </c>
      <c r="H10" s="150"/>
      <c r="J10" s="151"/>
      <c r="K10" s="149"/>
      <c r="L10" s="815"/>
      <c r="M10" s="816"/>
      <c r="N10" s="816"/>
      <c r="O10" s="817"/>
      <c r="P10" s="153"/>
      <c r="Q10" s="149"/>
      <c r="S10" s="152"/>
    </row>
    <row r="11" spans="1:19" ht="18">
      <c r="A11" s="151"/>
      <c r="B11" s="813" t="s">
        <v>294</v>
      </c>
      <c r="C11" s="813"/>
      <c r="D11" s="813"/>
      <c r="E11" s="813"/>
      <c r="F11" s="813"/>
      <c r="G11" s="153">
        <v>0.5</v>
      </c>
      <c r="H11" s="150"/>
      <c r="J11" s="151"/>
      <c r="K11" s="149"/>
      <c r="L11" s="815"/>
      <c r="M11" s="816"/>
      <c r="N11" s="816"/>
      <c r="O11" s="817"/>
      <c r="P11" s="153"/>
      <c r="Q11" s="149"/>
      <c r="S11" s="152"/>
    </row>
    <row r="12" spans="1:19" ht="20.25">
      <c r="A12" s="151"/>
      <c r="B12" s="813" t="s">
        <v>274</v>
      </c>
      <c r="C12" s="813"/>
      <c r="D12" s="813"/>
      <c r="E12" s="813"/>
      <c r="F12" s="813"/>
      <c r="G12" s="153">
        <v>1.4</v>
      </c>
      <c r="H12" s="150"/>
      <c r="J12" s="151"/>
      <c r="K12" s="149"/>
      <c r="L12" s="149"/>
      <c r="M12" s="149"/>
      <c r="N12" s="149"/>
      <c r="O12" s="149"/>
      <c r="P12" s="126">
        <f>SUM(P8:P11)</f>
        <v>0.9</v>
      </c>
      <c r="Q12" s="123" t="s">
        <v>143</v>
      </c>
      <c r="S12" s="152"/>
    </row>
    <row r="13" spans="1:19" ht="20.25">
      <c r="A13" s="151"/>
      <c r="B13" s="813" t="s">
        <v>275</v>
      </c>
      <c r="C13" s="813"/>
      <c r="D13" s="813"/>
      <c r="E13" s="813"/>
      <c r="F13" s="813"/>
      <c r="G13" s="154">
        <v>0.7</v>
      </c>
      <c r="H13" s="150"/>
      <c r="J13" s="156"/>
      <c r="K13" s="157"/>
      <c r="L13" s="157"/>
      <c r="M13" s="157"/>
      <c r="N13" s="157"/>
      <c r="O13" s="157"/>
      <c r="P13" s="127"/>
      <c r="Q13" s="129" t="s">
        <v>102</v>
      </c>
      <c r="R13" s="157"/>
      <c r="S13" s="158"/>
    </row>
    <row r="14" spans="1:21" ht="18">
      <c r="A14" s="151"/>
      <c r="B14" s="824"/>
      <c r="C14" s="824"/>
      <c r="D14" s="824"/>
      <c r="E14" s="824"/>
      <c r="F14" s="824"/>
      <c r="G14" s="154"/>
      <c r="H14" s="150"/>
      <c r="J14" s="159"/>
      <c r="K14" s="160"/>
      <c r="L14" s="160"/>
      <c r="M14" s="160"/>
      <c r="N14" s="160"/>
      <c r="O14" s="160"/>
      <c r="P14" s="160"/>
      <c r="Q14" s="160"/>
      <c r="R14" s="160"/>
      <c r="S14" s="162"/>
      <c r="U14" s="78"/>
    </row>
    <row r="15" spans="1:21" ht="23.25">
      <c r="A15" s="151"/>
      <c r="B15" s="824"/>
      <c r="C15" s="824"/>
      <c r="D15" s="824"/>
      <c r="E15" s="824"/>
      <c r="F15" s="824"/>
      <c r="G15" s="154"/>
      <c r="H15" s="150"/>
      <c r="J15" s="120"/>
      <c r="K15" s="101" t="s">
        <v>103</v>
      </c>
      <c r="L15" s="149"/>
      <c r="M15" s="149"/>
      <c r="N15" s="149"/>
      <c r="O15" s="149"/>
      <c r="P15" s="149"/>
      <c r="Q15" s="149"/>
      <c r="S15" s="150"/>
      <c r="U15" s="78"/>
    </row>
    <row r="16" spans="1:21" ht="23.25">
      <c r="A16" s="151"/>
      <c r="B16" s="149"/>
      <c r="C16" s="149"/>
      <c r="D16" s="78"/>
      <c r="E16" s="149"/>
      <c r="F16" s="125" t="s">
        <v>104</v>
      </c>
      <c r="G16" s="155">
        <f>SUM(G8:G13)</f>
        <v>4.8999999999999995</v>
      </c>
      <c r="H16" s="554" t="s">
        <v>142</v>
      </c>
      <c r="J16" s="130"/>
      <c r="K16" s="296"/>
      <c r="L16" s="149"/>
      <c r="M16" s="149"/>
      <c r="N16" s="149"/>
      <c r="O16" s="149"/>
      <c r="P16" s="149"/>
      <c r="Q16" s="340" t="s">
        <v>1</v>
      </c>
      <c r="S16" s="150"/>
      <c r="U16" s="78"/>
    </row>
    <row r="17" spans="1:21" ht="18">
      <c r="A17" s="151"/>
      <c r="B17" s="149"/>
      <c r="C17" s="149"/>
      <c r="D17" s="149"/>
      <c r="E17" s="149"/>
      <c r="F17" s="149"/>
      <c r="G17" s="149"/>
      <c r="H17" s="150"/>
      <c r="J17" s="151"/>
      <c r="K17" s="813" t="s">
        <v>286</v>
      </c>
      <c r="L17" s="813"/>
      <c r="M17" s="813"/>
      <c r="N17" s="813"/>
      <c r="O17" s="813"/>
      <c r="P17" s="813"/>
      <c r="Q17" s="153">
        <v>0.7</v>
      </c>
      <c r="S17" s="150"/>
      <c r="U17" s="78"/>
    </row>
    <row r="18" spans="1:21" ht="20.25" customHeight="1">
      <c r="A18" s="151"/>
      <c r="G18" s="149"/>
      <c r="H18" s="150"/>
      <c r="J18" s="151"/>
      <c r="K18" s="813" t="s">
        <v>285</v>
      </c>
      <c r="L18" s="813"/>
      <c r="M18" s="813"/>
      <c r="N18" s="813"/>
      <c r="O18" s="813"/>
      <c r="P18" s="813"/>
      <c r="Q18" s="153">
        <v>0.8</v>
      </c>
      <c r="S18" s="150"/>
      <c r="U18" s="78"/>
    </row>
    <row r="19" spans="1:21" ht="20.25">
      <c r="A19" s="151"/>
      <c r="C19" s="79"/>
      <c r="E19" s="575" t="s">
        <v>276</v>
      </c>
      <c r="F19" s="128">
        <v>1.2</v>
      </c>
      <c r="G19" s="123"/>
      <c r="H19" s="150"/>
      <c r="J19" s="151"/>
      <c r="K19" s="824"/>
      <c r="L19" s="824"/>
      <c r="M19" s="824"/>
      <c r="N19" s="824"/>
      <c r="O19" s="824"/>
      <c r="P19" s="824"/>
      <c r="Q19" s="154"/>
      <c r="S19" s="150"/>
      <c r="U19" s="78"/>
    </row>
    <row r="20" spans="1:21" ht="20.25">
      <c r="A20" s="151"/>
      <c r="C20" s="79"/>
      <c r="E20" s="575" t="s">
        <v>277</v>
      </c>
      <c r="F20" s="126">
        <f>+G16/F19</f>
        <v>4.083333333333333</v>
      </c>
      <c r="G20" s="123" t="s">
        <v>278</v>
      </c>
      <c r="H20" s="150"/>
      <c r="J20" s="151"/>
      <c r="K20" s="79"/>
      <c r="L20" s="149"/>
      <c r="M20" s="149"/>
      <c r="N20" s="78"/>
      <c r="O20" s="78"/>
      <c r="P20" s="125" t="s">
        <v>297</v>
      </c>
      <c r="Q20" s="126">
        <f>SUM(Q17:Q19)</f>
        <v>1.5</v>
      </c>
      <c r="R20" s="21" t="s">
        <v>1</v>
      </c>
      <c r="S20" s="150"/>
      <c r="U20" s="78"/>
    </row>
    <row r="21" spans="1:21" ht="20.25">
      <c r="A21" s="151"/>
      <c r="B21" s="567"/>
      <c r="C21" s="149"/>
      <c r="D21" s="149"/>
      <c r="E21" s="149"/>
      <c r="F21" s="149"/>
      <c r="G21" s="149"/>
      <c r="H21" s="150"/>
      <c r="J21" s="156"/>
      <c r="K21" s="235"/>
      <c r="L21" s="235"/>
      <c r="M21" s="235"/>
      <c r="N21" s="235"/>
      <c r="O21" s="235"/>
      <c r="P21" s="235"/>
      <c r="Q21" s="235"/>
      <c r="R21" s="235"/>
      <c r="S21" s="161"/>
      <c r="U21" s="78"/>
    </row>
    <row r="22" spans="1:21" ht="20.25">
      <c r="A22" s="151"/>
      <c r="B22" s="567"/>
      <c r="C22" s="149"/>
      <c r="D22" s="149"/>
      <c r="E22" s="149"/>
      <c r="F22" s="149"/>
      <c r="G22" s="149"/>
      <c r="H22" s="150"/>
      <c r="J22" s="159"/>
      <c r="K22" s="160"/>
      <c r="L22" s="160"/>
      <c r="M22" s="160"/>
      <c r="N22" s="160"/>
      <c r="O22" s="160"/>
      <c r="P22" s="160"/>
      <c r="Q22" s="160"/>
      <c r="R22" s="160"/>
      <c r="S22" s="162"/>
      <c r="U22" s="78"/>
    </row>
    <row r="23" spans="1:21" ht="23.25">
      <c r="A23" s="151"/>
      <c r="B23" s="149"/>
      <c r="C23" s="149"/>
      <c r="D23" s="149"/>
      <c r="E23" s="149"/>
      <c r="F23" s="149"/>
      <c r="G23" s="149"/>
      <c r="H23" s="150"/>
      <c r="J23" s="120"/>
      <c r="K23" s="101" t="s">
        <v>298</v>
      </c>
      <c r="L23" s="149"/>
      <c r="M23" s="149"/>
      <c r="N23" s="149"/>
      <c r="O23" s="149"/>
      <c r="P23" s="149"/>
      <c r="Q23" s="149"/>
      <c r="S23" s="150"/>
      <c r="U23" s="78"/>
    </row>
    <row r="24" spans="1:21" ht="23.25">
      <c r="A24" s="156"/>
      <c r="B24" s="157"/>
      <c r="C24" s="157"/>
      <c r="D24" s="157"/>
      <c r="E24" s="157"/>
      <c r="F24" s="157"/>
      <c r="G24" s="157"/>
      <c r="H24" s="161"/>
      <c r="J24" s="130"/>
      <c r="K24" s="296" t="s">
        <v>329</v>
      </c>
      <c r="L24" s="149"/>
      <c r="M24" s="149"/>
      <c r="N24" s="149"/>
      <c r="O24" s="149"/>
      <c r="P24" s="149"/>
      <c r="Q24" s="340" t="s">
        <v>1</v>
      </c>
      <c r="S24" s="150"/>
      <c r="U24" s="78"/>
    </row>
    <row r="25" spans="1:22" ht="18">
      <c r="A25" s="144"/>
      <c r="B25" s="145"/>
      <c r="C25" s="145"/>
      <c r="D25" s="145"/>
      <c r="E25" s="145"/>
      <c r="F25" s="145"/>
      <c r="G25" s="145"/>
      <c r="H25" s="146"/>
      <c r="J25" s="151"/>
      <c r="K25" s="813" t="s">
        <v>287</v>
      </c>
      <c r="L25" s="813"/>
      <c r="M25" s="813"/>
      <c r="N25" s="813"/>
      <c r="O25" s="813"/>
      <c r="P25" s="813"/>
      <c r="Q25" s="153">
        <v>1</v>
      </c>
      <c r="S25" s="150"/>
      <c r="U25" s="78"/>
      <c r="V25" s="78"/>
    </row>
    <row r="26" spans="1:21" ht="23.25">
      <c r="A26" s="119" t="s">
        <v>295</v>
      </c>
      <c r="B26" s="147"/>
      <c r="C26" s="149"/>
      <c r="D26" s="149"/>
      <c r="E26" s="149"/>
      <c r="F26" s="149"/>
      <c r="G26" s="149"/>
      <c r="H26" s="152"/>
      <c r="J26" s="151"/>
      <c r="K26" s="813" t="s">
        <v>300</v>
      </c>
      <c r="L26" s="813"/>
      <c r="M26" s="813"/>
      <c r="N26" s="813"/>
      <c r="O26" s="813"/>
      <c r="P26" s="813"/>
      <c r="Q26" s="153">
        <v>0.5</v>
      </c>
      <c r="S26" s="150"/>
      <c r="U26" s="78"/>
    </row>
    <row r="27" spans="1:21" ht="20.25">
      <c r="A27" s="151"/>
      <c r="B27" s="149"/>
      <c r="C27" s="149"/>
      <c r="D27" s="149"/>
      <c r="E27" s="149"/>
      <c r="F27" s="149"/>
      <c r="G27" s="340" t="s">
        <v>1</v>
      </c>
      <c r="H27" s="152"/>
      <c r="J27" s="151"/>
      <c r="K27" s="824"/>
      <c r="L27" s="824"/>
      <c r="M27" s="824"/>
      <c r="N27" s="824"/>
      <c r="O27" s="824"/>
      <c r="P27" s="824"/>
      <c r="Q27" s="154"/>
      <c r="R27"/>
      <c r="S27" s="150"/>
      <c r="U27" s="78"/>
    </row>
    <row r="28" spans="1:21" ht="20.25">
      <c r="A28" s="151"/>
      <c r="B28" s="813" t="s">
        <v>279</v>
      </c>
      <c r="C28" s="813"/>
      <c r="D28" s="813"/>
      <c r="E28" s="813"/>
      <c r="F28" s="813"/>
      <c r="G28" s="153">
        <v>0.4</v>
      </c>
      <c r="H28" s="152"/>
      <c r="J28" s="151"/>
      <c r="P28" s="125" t="s">
        <v>301</v>
      </c>
      <c r="Q28" s="126">
        <f>SUM(Q25:Q27)</f>
        <v>1.5</v>
      </c>
      <c r="R28" s="21" t="s">
        <v>1</v>
      </c>
      <c r="S28" s="150"/>
      <c r="U28" s="78"/>
    </row>
    <row r="29" spans="1:21" ht="18">
      <c r="A29" s="151"/>
      <c r="B29" s="813" t="s">
        <v>280</v>
      </c>
      <c r="C29" s="813"/>
      <c r="D29" s="813"/>
      <c r="E29" s="813"/>
      <c r="F29" s="813"/>
      <c r="G29" s="153">
        <v>1.5</v>
      </c>
      <c r="H29" s="152"/>
      <c r="J29" s="156"/>
      <c r="K29" s="235"/>
      <c r="L29" s="235"/>
      <c r="M29" s="235"/>
      <c r="N29" s="235"/>
      <c r="O29" s="235"/>
      <c r="P29" s="235"/>
      <c r="Q29" s="235"/>
      <c r="R29" s="235"/>
      <c r="S29" s="161"/>
      <c r="U29" s="78"/>
    </row>
    <row r="30" spans="1:21" ht="18">
      <c r="A30" s="151"/>
      <c r="B30" s="813" t="s">
        <v>281</v>
      </c>
      <c r="C30" s="813"/>
      <c r="D30" s="813"/>
      <c r="E30" s="813"/>
      <c r="F30" s="813"/>
      <c r="G30" s="153">
        <v>2</v>
      </c>
      <c r="H30" s="152"/>
      <c r="J30" s="159"/>
      <c r="K30" s="160"/>
      <c r="L30" s="160"/>
      <c r="M30" s="160"/>
      <c r="N30" s="160"/>
      <c r="O30" s="160"/>
      <c r="P30" s="160"/>
      <c r="Q30" s="160"/>
      <c r="R30" s="160"/>
      <c r="S30" s="146"/>
      <c r="U30" s="78"/>
    </row>
    <row r="31" spans="1:21" ht="23.25">
      <c r="A31" s="151"/>
      <c r="B31" s="813" t="s">
        <v>282</v>
      </c>
      <c r="C31" s="813"/>
      <c r="D31" s="813"/>
      <c r="E31" s="813"/>
      <c r="F31" s="813"/>
      <c r="G31" s="153">
        <v>0.8</v>
      </c>
      <c r="H31" s="152"/>
      <c r="J31" s="151"/>
      <c r="K31" s="101" t="s">
        <v>315</v>
      </c>
      <c r="L31" s="149"/>
      <c r="M31" s="149"/>
      <c r="N31" s="149"/>
      <c r="O31" s="149"/>
      <c r="P31" s="149"/>
      <c r="Q31" s="149"/>
      <c r="R31" s="149"/>
      <c r="S31" s="152"/>
      <c r="U31" s="78"/>
    </row>
    <row r="32" spans="1:21" ht="23.25">
      <c r="A32" s="151"/>
      <c r="B32" s="824"/>
      <c r="C32" s="824"/>
      <c r="D32" s="824"/>
      <c r="E32" s="824"/>
      <c r="F32" s="824"/>
      <c r="G32" s="153"/>
      <c r="H32" s="152"/>
      <c r="J32" s="151"/>
      <c r="K32" s="295" t="s">
        <v>330</v>
      </c>
      <c r="L32" s="149"/>
      <c r="M32" s="149"/>
      <c r="N32" s="149"/>
      <c r="O32" s="149"/>
      <c r="P32" s="149"/>
      <c r="Q32" s="340" t="s">
        <v>1</v>
      </c>
      <c r="S32" s="152"/>
      <c r="U32" s="78"/>
    </row>
    <row r="33" spans="1:21" ht="18">
      <c r="A33" s="151"/>
      <c r="B33" s="824"/>
      <c r="C33" s="824"/>
      <c r="D33" s="824"/>
      <c r="E33" s="824"/>
      <c r="F33" s="824"/>
      <c r="G33" s="154"/>
      <c r="H33" s="152"/>
      <c r="J33" s="151"/>
      <c r="K33" s="821" t="s">
        <v>313</v>
      </c>
      <c r="L33" s="822"/>
      <c r="M33" s="822"/>
      <c r="N33" s="822"/>
      <c r="O33" s="822"/>
      <c r="P33" s="822"/>
      <c r="Q33" s="153">
        <v>0.6</v>
      </c>
      <c r="S33" s="152"/>
      <c r="U33" s="78"/>
    </row>
    <row r="34" spans="1:21" ht="20.25">
      <c r="A34" s="151"/>
      <c r="B34" s="149"/>
      <c r="C34" s="149"/>
      <c r="D34" s="147"/>
      <c r="E34" s="149"/>
      <c r="F34" s="125" t="s">
        <v>283</v>
      </c>
      <c r="G34" s="126">
        <f>SUM(G28:G33)</f>
        <v>4.7</v>
      </c>
      <c r="H34" s="152"/>
      <c r="J34" s="151"/>
      <c r="K34" s="821" t="s">
        <v>288</v>
      </c>
      <c r="L34" s="822"/>
      <c r="M34" s="822"/>
      <c r="N34" s="822"/>
      <c r="O34" s="822"/>
      <c r="P34" s="822"/>
      <c r="Q34" s="153">
        <v>1.5</v>
      </c>
      <c r="S34" s="152"/>
      <c r="U34" s="78"/>
    </row>
    <row r="35" spans="1:21" ht="18">
      <c r="A35" s="280"/>
      <c r="B35" s="147"/>
      <c r="C35" s="147"/>
      <c r="D35" s="147"/>
      <c r="E35" s="147"/>
      <c r="F35" s="147"/>
      <c r="G35" s="147"/>
      <c r="H35" s="152"/>
      <c r="J35" s="151"/>
      <c r="K35" s="821" t="s">
        <v>402</v>
      </c>
      <c r="L35" s="822"/>
      <c r="M35" s="822"/>
      <c r="N35" s="822"/>
      <c r="O35" s="822"/>
      <c r="P35" s="822"/>
      <c r="Q35" s="153">
        <v>1.5</v>
      </c>
      <c r="S35" s="152"/>
      <c r="U35" s="78"/>
    </row>
    <row r="36" spans="1:21" ht="18">
      <c r="A36" s="156"/>
      <c r="B36" s="157"/>
      <c r="C36" s="157"/>
      <c r="D36" s="157"/>
      <c r="E36" s="157"/>
      <c r="F36" s="157"/>
      <c r="G36" s="157"/>
      <c r="H36" s="158"/>
      <c r="J36" s="151"/>
      <c r="K36" s="821" t="s">
        <v>314</v>
      </c>
      <c r="L36" s="822"/>
      <c r="M36" s="822"/>
      <c r="N36" s="822"/>
      <c r="O36" s="822"/>
      <c r="P36" s="822"/>
      <c r="Q36" s="153">
        <v>1</v>
      </c>
      <c r="S36" s="152"/>
      <c r="U36" s="78"/>
    </row>
    <row r="37" spans="10:21" ht="18">
      <c r="J37" s="151"/>
      <c r="K37" s="821" t="s">
        <v>289</v>
      </c>
      <c r="L37" s="822"/>
      <c r="M37" s="822"/>
      <c r="N37" s="822"/>
      <c r="O37" s="822"/>
      <c r="P37" s="822"/>
      <c r="Q37" s="153">
        <v>1</v>
      </c>
      <c r="S37" s="152"/>
      <c r="U37" s="78"/>
    </row>
    <row r="38" spans="1:21" ht="18">
      <c r="A38"/>
      <c r="B38"/>
      <c r="C38"/>
      <c r="D38"/>
      <c r="E38"/>
      <c r="F38"/>
      <c r="G38"/>
      <c r="H38"/>
      <c r="I38"/>
      <c r="J38" s="151"/>
      <c r="K38" s="821" t="s">
        <v>302</v>
      </c>
      <c r="L38" s="822"/>
      <c r="M38" s="822"/>
      <c r="N38" s="822"/>
      <c r="O38" s="822"/>
      <c r="P38" s="822"/>
      <c r="Q38" s="153">
        <v>0.5</v>
      </c>
      <c r="S38" s="152"/>
      <c r="U38" s="78"/>
    </row>
    <row r="39" spans="1:21" ht="18">
      <c r="A39"/>
      <c r="B39"/>
      <c r="C39"/>
      <c r="D39"/>
      <c r="E39"/>
      <c r="F39"/>
      <c r="G39"/>
      <c r="H39"/>
      <c r="I39"/>
      <c r="J39" s="151"/>
      <c r="K39" s="815"/>
      <c r="L39" s="816"/>
      <c r="M39" s="816"/>
      <c r="N39" s="816"/>
      <c r="O39" s="816"/>
      <c r="P39" s="816"/>
      <c r="Q39" s="153"/>
      <c r="S39" s="152"/>
      <c r="U39" s="78"/>
    </row>
    <row r="40" spans="1:21" ht="18">
      <c r="A40"/>
      <c r="B40"/>
      <c r="C40"/>
      <c r="D40"/>
      <c r="E40"/>
      <c r="F40"/>
      <c r="G40"/>
      <c r="H40"/>
      <c r="I40"/>
      <c r="J40" s="151"/>
      <c r="K40" s="815"/>
      <c r="L40" s="816"/>
      <c r="M40" s="816"/>
      <c r="N40" s="816"/>
      <c r="O40" s="816"/>
      <c r="P40" s="816"/>
      <c r="Q40" s="153"/>
      <c r="S40" s="152"/>
      <c r="U40" s="78"/>
    </row>
    <row r="41" spans="1:21" ht="18">
      <c r="A41"/>
      <c r="B41"/>
      <c r="C41"/>
      <c r="D41"/>
      <c r="E41"/>
      <c r="F41"/>
      <c r="G41"/>
      <c r="H41"/>
      <c r="I41"/>
      <c r="J41" s="151"/>
      <c r="K41" s="815"/>
      <c r="L41" s="816"/>
      <c r="M41" s="816"/>
      <c r="N41" s="816"/>
      <c r="O41" s="816"/>
      <c r="P41" s="816"/>
      <c r="Q41" s="154"/>
      <c r="S41" s="152"/>
      <c r="U41" s="78"/>
    </row>
    <row r="42" spans="1:21" ht="20.25">
      <c r="A42"/>
      <c r="B42"/>
      <c r="C42"/>
      <c r="D42"/>
      <c r="E42"/>
      <c r="F42"/>
      <c r="G42"/>
      <c r="H42"/>
      <c r="I42"/>
      <c r="J42" s="151"/>
      <c r="K42" s="149"/>
      <c r="L42" s="149"/>
      <c r="M42" s="149"/>
      <c r="N42" s="149"/>
      <c r="O42" s="149"/>
      <c r="P42" s="125" t="s">
        <v>290</v>
      </c>
      <c r="Q42" s="126">
        <f>SUM(Q33:Q41)</f>
        <v>6.1</v>
      </c>
      <c r="R42" s="123" t="s">
        <v>9</v>
      </c>
      <c r="S42" s="152"/>
      <c r="U42" s="78"/>
    </row>
    <row r="43" spans="1:21" ht="18">
      <c r="A43"/>
      <c r="B43"/>
      <c r="C43"/>
      <c r="D43"/>
      <c r="E43"/>
      <c r="F43"/>
      <c r="G43"/>
      <c r="H43"/>
      <c r="I43"/>
      <c r="J43" s="356"/>
      <c r="K43" s="235"/>
      <c r="L43" s="235"/>
      <c r="M43" s="235"/>
      <c r="N43" s="235"/>
      <c r="O43" s="235"/>
      <c r="P43" s="235"/>
      <c r="Q43" s="235"/>
      <c r="R43" s="235"/>
      <c r="S43" s="158"/>
      <c r="U43" s="78"/>
    </row>
    <row r="44" spans="1:21" ht="18">
      <c r="A44" s="78"/>
      <c r="B44" s="78"/>
      <c r="C44" s="78"/>
      <c r="D44" s="78"/>
      <c r="E44" s="78"/>
      <c r="F44" s="78"/>
      <c r="G44" s="78"/>
      <c r="H44" s="78"/>
      <c r="I44" s="78"/>
      <c r="U44" s="78"/>
    </row>
    <row r="45" spans="1:22" ht="26.25">
      <c r="A45" s="297" t="s">
        <v>303</v>
      </c>
      <c r="B45" s="78"/>
      <c r="C45" s="78"/>
      <c r="E45" s="78"/>
      <c r="F45" s="78"/>
      <c r="G45" s="78"/>
      <c r="H45" s="78"/>
      <c r="I45" s="78"/>
      <c r="J45" s="78"/>
      <c r="U45" s="78"/>
      <c r="V45" s="78"/>
    </row>
    <row r="46" spans="1:22" ht="20.25">
      <c r="A46" s="78"/>
      <c r="B46" s="78"/>
      <c r="C46" s="78"/>
      <c r="E46" s="818" t="s">
        <v>291</v>
      </c>
      <c r="F46" s="819"/>
      <c r="G46" s="820"/>
      <c r="H46" s="132">
        <f>+F19</f>
        <v>1.2</v>
      </c>
      <c r="I46" s="78"/>
      <c r="J46" s="78"/>
      <c r="U46" s="78"/>
      <c r="V46" s="78"/>
    </row>
    <row r="47" spans="1:22" ht="20.25">
      <c r="A47" s="131"/>
      <c r="B47" s="78"/>
      <c r="C47" s="78"/>
      <c r="E47" s="818" t="s">
        <v>292</v>
      </c>
      <c r="F47" s="819"/>
      <c r="G47" s="820"/>
      <c r="H47" s="124" t="s">
        <v>20</v>
      </c>
      <c r="I47" s="78"/>
      <c r="J47" s="78"/>
      <c r="U47" s="78"/>
      <c r="V47" s="78"/>
    </row>
    <row r="48" spans="1:22" ht="18.75" thickBot="1">
      <c r="A48" s="78"/>
      <c r="B48" s="78"/>
      <c r="C48" s="78"/>
      <c r="E48" s="78"/>
      <c r="F48" s="78"/>
      <c r="G48" s="78"/>
      <c r="H48" s="78"/>
      <c r="I48" s="78"/>
      <c r="J48" s="78"/>
      <c r="K48" s="78"/>
      <c r="L48" s="78"/>
      <c r="M48" s="78"/>
      <c r="O48" s="78"/>
      <c r="P48" s="78"/>
      <c r="Q48" s="78"/>
      <c r="R48" s="78"/>
      <c r="S48" s="78"/>
      <c r="T48" s="78"/>
      <c r="U48" s="78"/>
      <c r="V48" s="78"/>
    </row>
    <row r="49" spans="1:20" ht="20.25">
      <c r="A49" s="122"/>
      <c r="B49" s="122"/>
      <c r="C49" s="133" t="s">
        <v>105</v>
      </c>
      <c r="D49" s="122"/>
      <c r="E49" s="122"/>
      <c r="F49" s="133" t="s">
        <v>65</v>
      </c>
      <c r="H49" s="835" t="s">
        <v>307</v>
      </c>
      <c r="I49" s="836"/>
      <c r="J49" s="837"/>
      <c r="K49" s="835" t="s">
        <v>308</v>
      </c>
      <c r="L49" s="838"/>
      <c r="M49" s="720"/>
      <c r="O49" s="78"/>
      <c r="P49" s="78"/>
      <c r="Q49" s="78"/>
      <c r="R49" s="78"/>
      <c r="S49" s="78"/>
      <c r="T49" s="78"/>
    </row>
    <row r="50" spans="1:20" ht="21" thickBot="1">
      <c r="A50" s="134" t="s">
        <v>318</v>
      </c>
      <c r="B50" s="556" t="s">
        <v>306</v>
      </c>
      <c r="C50" s="136" t="s">
        <v>106</v>
      </c>
      <c r="D50" s="135" t="s">
        <v>304</v>
      </c>
      <c r="E50" s="134" t="s">
        <v>10</v>
      </c>
      <c r="F50" s="136" t="s">
        <v>107</v>
      </c>
      <c r="H50" s="290" t="s">
        <v>63</v>
      </c>
      <c r="I50" s="291" t="s">
        <v>105</v>
      </c>
      <c r="J50" s="292" t="s">
        <v>10</v>
      </c>
      <c r="K50" s="299" t="s">
        <v>309</v>
      </c>
      <c r="L50" s="121"/>
      <c r="M50" s="137"/>
      <c r="O50" s="78"/>
      <c r="P50" s="78"/>
      <c r="Q50" s="78"/>
      <c r="R50" s="78"/>
      <c r="S50" s="78"/>
      <c r="T50" s="78"/>
    </row>
    <row r="51" spans="1:20" ht="18.75" thickTop="1">
      <c r="A51" s="167"/>
      <c r="B51" s="168">
        <v>15</v>
      </c>
      <c r="C51" s="168">
        <v>1</v>
      </c>
      <c r="D51" s="168">
        <v>1</v>
      </c>
      <c r="E51" s="168"/>
      <c r="F51" s="169">
        <f aca="true" t="shared" si="0" ref="F51:F76">IF(B51=0,0,(B51+0.2)/$H$46)</f>
        <v>12.666666666666666</v>
      </c>
      <c r="H51" s="288">
        <f>+$G$16*F51</f>
        <v>62.066666666666656</v>
      </c>
      <c r="I51" s="169">
        <f aca="true" t="shared" si="1" ref="I51:I76">+C51*$P$12</f>
        <v>0.9</v>
      </c>
      <c r="J51" s="289">
        <f aca="true" t="shared" si="2" ref="J51:J76">+E51*$G$34</f>
        <v>0</v>
      </c>
      <c r="K51" s="298">
        <f aca="true" t="shared" si="3" ref="K51:K76">IF(B51&gt;0,$Q$20,0)</f>
        <v>1.5</v>
      </c>
      <c r="L51" s="149"/>
      <c r="M51" s="166"/>
      <c r="O51" s="78"/>
      <c r="P51" s="78"/>
      <c r="Q51" s="78"/>
      <c r="R51" s="78"/>
      <c r="S51" s="78"/>
      <c r="T51" s="78"/>
    </row>
    <row r="52" spans="1:20" ht="18">
      <c r="A52" s="173">
        <f aca="true" t="shared" si="4" ref="A52:A76">+A51+1</f>
        <v>1</v>
      </c>
      <c r="B52" s="154">
        <v>15</v>
      </c>
      <c r="C52" s="154">
        <v>1</v>
      </c>
      <c r="D52" s="154">
        <v>1</v>
      </c>
      <c r="E52" s="154"/>
      <c r="F52" s="169">
        <f t="shared" si="0"/>
        <v>12.666666666666666</v>
      </c>
      <c r="H52" s="170">
        <f>+$G$16*F52</f>
        <v>62.066666666666656</v>
      </c>
      <c r="I52" s="171">
        <f t="shared" si="1"/>
        <v>0.9</v>
      </c>
      <c r="J52" s="172">
        <f t="shared" si="2"/>
        <v>0</v>
      </c>
      <c r="K52" s="298">
        <f t="shared" si="3"/>
        <v>1.5</v>
      </c>
      <c r="L52" s="149"/>
      <c r="M52" s="166"/>
      <c r="O52" s="78"/>
      <c r="P52" s="78"/>
      <c r="Q52" s="78"/>
      <c r="R52" s="78"/>
      <c r="S52" s="78"/>
      <c r="T52" s="78"/>
    </row>
    <row r="53" spans="1:20" ht="18">
      <c r="A53" s="173">
        <f t="shared" si="4"/>
        <v>2</v>
      </c>
      <c r="B53" s="154">
        <v>15</v>
      </c>
      <c r="C53" s="154">
        <v>1</v>
      </c>
      <c r="D53" s="154">
        <v>1</v>
      </c>
      <c r="E53" s="154"/>
      <c r="F53" s="169">
        <f t="shared" si="0"/>
        <v>12.666666666666666</v>
      </c>
      <c r="H53" s="170">
        <f aca="true" t="shared" si="5" ref="H53:H76">+$G$16*F53</f>
        <v>62.066666666666656</v>
      </c>
      <c r="I53" s="171">
        <f t="shared" si="1"/>
        <v>0.9</v>
      </c>
      <c r="J53" s="172">
        <f t="shared" si="2"/>
        <v>0</v>
      </c>
      <c r="K53" s="298">
        <f t="shared" si="3"/>
        <v>1.5</v>
      </c>
      <c r="L53" s="149"/>
      <c r="M53" s="166"/>
      <c r="O53" s="78"/>
      <c r="P53" s="78"/>
      <c r="Q53" s="78"/>
      <c r="R53" s="78"/>
      <c r="S53" s="78"/>
      <c r="T53" s="78"/>
    </row>
    <row r="54" spans="1:20" ht="18">
      <c r="A54" s="173">
        <f t="shared" si="4"/>
        <v>3</v>
      </c>
      <c r="B54" s="154"/>
      <c r="C54" s="154"/>
      <c r="D54" s="154"/>
      <c r="E54" s="154"/>
      <c r="F54" s="169">
        <f t="shared" si="0"/>
        <v>0</v>
      </c>
      <c r="H54" s="170">
        <f t="shared" si="5"/>
        <v>0</v>
      </c>
      <c r="I54" s="171">
        <f t="shared" si="1"/>
        <v>0</v>
      </c>
      <c r="J54" s="172">
        <f t="shared" si="2"/>
        <v>0</v>
      </c>
      <c r="K54" s="298">
        <f t="shared" si="3"/>
        <v>0</v>
      </c>
      <c r="L54" s="149"/>
      <c r="M54" s="166"/>
      <c r="O54" s="78"/>
      <c r="P54" s="78"/>
      <c r="Q54" s="78"/>
      <c r="R54" s="78"/>
      <c r="S54" s="78"/>
      <c r="T54" s="78"/>
    </row>
    <row r="55" spans="1:20" ht="18">
      <c r="A55" s="173">
        <f t="shared" si="4"/>
        <v>4</v>
      </c>
      <c r="B55" s="154"/>
      <c r="C55" s="154"/>
      <c r="D55" s="154"/>
      <c r="E55" s="154"/>
      <c r="F55" s="169">
        <f t="shared" si="0"/>
        <v>0</v>
      </c>
      <c r="H55" s="170">
        <f t="shared" si="5"/>
        <v>0</v>
      </c>
      <c r="I55" s="171">
        <f t="shared" si="1"/>
        <v>0</v>
      </c>
      <c r="J55" s="172">
        <f t="shared" si="2"/>
        <v>0</v>
      </c>
      <c r="K55" s="298">
        <f t="shared" si="3"/>
        <v>0</v>
      </c>
      <c r="L55" s="149"/>
      <c r="M55" s="166"/>
      <c r="O55" s="78"/>
      <c r="P55" s="78"/>
      <c r="Q55" s="78"/>
      <c r="R55" s="78"/>
      <c r="S55" s="78"/>
      <c r="T55" s="78"/>
    </row>
    <row r="56" spans="1:20" ht="18">
      <c r="A56" s="173">
        <f t="shared" si="4"/>
        <v>5</v>
      </c>
      <c r="B56" s="154"/>
      <c r="C56" s="154"/>
      <c r="D56" s="154"/>
      <c r="E56" s="154"/>
      <c r="F56" s="169">
        <f t="shared" si="0"/>
        <v>0</v>
      </c>
      <c r="H56" s="170">
        <f t="shared" si="5"/>
        <v>0</v>
      </c>
      <c r="I56" s="171">
        <f t="shared" si="1"/>
        <v>0</v>
      </c>
      <c r="J56" s="172">
        <f t="shared" si="2"/>
        <v>0</v>
      </c>
      <c r="K56" s="298">
        <f t="shared" si="3"/>
        <v>0</v>
      </c>
      <c r="L56" s="149"/>
      <c r="M56" s="166"/>
      <c r="O56" s="78"/>
      <c r="P56" s="78"/>
      <c r="Q56" s="78"/>
      <c r="R56" s="78"/>
      <c r="S56" s="78"/>
      <c r="T56" s="78"/>
    </row>
    <row r="57" spans="1:20" ht="18">
      <c r="A57" s="173">
        <f t="shared" si="4"/>
        <v>6</v>
      </c>
      <c r="B57" s="154"/>
      <c r="C57" s="154"/>
      <c r="D57" s="154"/>
      <c r="E57" s="154"/>
      <c r="F57" s="169">
        <f t="shared" si="0"/>
        <v>0</v>
      </c>
      <c r="H57" s="170">
        <f t="shared" si="5"/>
        <v>0</v>
      </c>
      <c r="I57" s="171">
        <f t="shared" si="1"/>
        <v>0</v>
      </c>
      <c r="J57" s="172">
        <f t="shared" si="2"/>
        <v>0</v>
      </c>
      <c r="K57" s="298">
        <f t="shared" si="3"/>
        <v>0</v>
      </c>
      <c r="L57" s="149"/>
      <c r="M57" s="166"/>
      <c r="O57" s="78"/>
      <c r="P57" s="78"/>
      <c r="Q57" s="78"/>
      <c r="R57" s="78"/>
      <c r="S57" s="78"/>
      <c r="T57" s="78"/>
    </row>
    <row r="58" spans="1:20" ht="18">
      <c r="A58" s="173">
        <f t="shared" si="4"/>
        <v>7</v>
      </c>
      <c r="B58" s="154"/>
      <c r="C58" s="154"/>
      <c r="D58" s="154"/>
      <c r="E58" s="154"/>
      <c r="F58" s="169">
        <f t="shared" si="0"/>
        <v>0</v>
      </c>
      <c r="H58" s="170">
        <f t="shared" si="5"/>
        <v>0</v>
      </c>
      <c r="I58" s="171">
        <f t="shared" si="1"/>
        <v>0</v>
      </c>
      <c r="J58" s="172">
        <f t="shared" si="2"/>
        <v>0</v>
      </c>
      <c r="K58" s="298">
        <f t="shared" si="3"/>
        <v>0</v>
      </c>
      <c r="L58" s="149"/>
      <c r="M58" s="166"/>
      <c r="O58" s="78"/>
      <c r="P58" s="78"/>
      <c r="Q58" s="78"/>
      <c r="R58" s="78"/>
      <c r="S58" s="78"/>
      <c r="T58" s="78"/>
    </row>
    <row r="59" spans="1:20" ht="18">
      <c r="A59" s="173">
        <f t="shared" si="4"/>
        <v>8</v>
      </c>
      <c r="B59" s="154"/>
      <c r="C59" s="154"/>
      <c r="D59" s="154"/>
      <c r="E59" s="154"/>
      <c r="F59" s="169">
        <f t="shared" si="0"/>
        <v>0</v>
      </c>
      <c r="H59" s="170">
        <f t="shared" si="5"/>
        <v>0</v>
      </c>
      <c r="I59" s="171">
        <f t="shared" si="1"/>
        <v>0</v>
      </c>
      <c r="J59" s="172">
        <f t="shared" si="2"/>
        <v>0</v>
      </c>
      <c r="K59" s="298">
        <f t="shared" si="3"/>
        <v>0</v>
      </c>
      <c r="L59" s="149"/>
      <c r="M59" s="166"/>
      <c r="O59" s="78"/>
      <c r="P59" s="78"/>
      <c r="Q59" s="78"/>
      <c r="R59" s="78"/>
      <c r="S59" s="78"/>
      <c r="T59" s="78"/>
    </row>
    <row r="60" spans="1:20" ht="18">
      <c r="A60" s="173">
        <f t="shared" si="4"/>
        <v>9</v>
      </c>
      <c r="B60" s="154"/>
      <c r="C60" s="154"/>
      <c r="D60" s="154"/>
      <c r="E60" s="154"/>
      <c r="F60" s="169">
        <f t="shared" si="0"/>
        <v>0</v>
      </c>
      <c r="H60" s="170">
        <f t="shared" si="5"/>
        <v>0</v>
      </c>
      <c r="I60" s="171">
        <f t="shared" si="1"/>
        <v>0</v>
      </c>
      <c r="J60" s="172">
        <f t="shared" si="2"/>
        <v>0</v>
      </c>
      <c r="K60" s="298">
        <f t="shared" si="3"/>
        <v>0</v>
      </c>
      <c r="L60" s="149"/>
      <c r="M60" s="166"/>
      <c r="O60" s="78"/>
      <c r="P60" s="79"/>
      <c r="Q60" s="149"/>
      <c r="R60" s="149"/>
      <c r="S60" s="78"/>
      <c r="T60" s="78"/>
    </row>
    <row r="61" spans="1:20" ht="18">
      <c r="A61" s="173">
        <f t="shared" si="4"/>
        <v>10</v>
      </c>
      <c r="B61" s="154"/>
      <c r="C61" s="154"/>
      <c r="D61" s="154"/>
      <c r="E61" s="154"/>
      <c r="F61" s="169">
        <f t="shared" si="0"/>
        <v>0</v>
      </c>
      <c r="H61" s="170">
        <f t="shared" si="5"/>
        <v>0</v>
      </c>
      <c r="I61" s="171">
        <f t="shared" si="1"/>
        <v>0</v>
      </c>
      <c r="J61" s="172">
        <f t="shared" si="2"/>
        <v>0</v>
      </c>
      <c r="K61" s="298">
        <f t="shared" si="3"/>
        <v>0</v>
      </c>
      <c r="L61" s="149"/>
      <c r="M61" s="166"/>
      <c r="O61" s="78"/>
      <c r="P61" s="79"/>
      <c r="Q61" s="149"/>
      <c r="R61" s="149"/>
      <c r="S61" s="78"/>
      <c r="T61" s="78"/>
    </row>
    <row r="62" spans="1:20" ht="18">
      <c r="A62" s="173">
        <f t="shared" si="4"/>
        <v>11</v>
      </c>
      <c r="B62" s="154"/>
      <c r="C62" s="154"/>
      <c r="D62" s="154"/>
      <c r="E62" s="154"/>
      <c r="F62" s="169">
        <f t="shared" si="0"/>
        <v>0</v>
      </c>
      <c r="H62" s="170">
        <f t="shared" si="5"/>
        <v>0</v>
      </c>
      <c r="I62" s="171">
        <f t="shared" si="1"/>
        <v>0</v>
      </c>
      <c r="J62" s="172">
        <f t="shared" si="2"/>
        <v>0</v>
      </c>
      <c r="K62" s="298">
        <f t="shared" si="3"/>
        <v>0</v>
      </c>
      <c r="L62" s="149"/>
      <c r="M62" s="166"/>
      <c r="O62" s="78"/>
      <c r="P62" s="79"/>
      <c r="Q62" s="149"/>
      <c r="R62" s="149"/>
      <c r="S62" s="78"/>
      <c r="T62" s="78"/>
    </row>
    <row r="63" spans="1:20" ht="18">
      <c r="A63" s="173">
        <f t="shared" si="4"/>
        <v>12</v>
      </c>
      <c r="B63" s="154"/>
      <c r="C63" s="154"/>
      <c r="D63" s="154"/>
      <c r="E63" s="154"/>
      <c r="F63" s="169">
        <f t="shared" si="0"/>
        <v>0</v>
      </c>
      <c r="H63" s="170">
        <f t="shared" si="5"/>
        <v>0</v>
      </c>
      <c r="I63" s="171">
        <f t="shared" si="1"/>
        <v>0</v>
      </c>
      <c r="J63" s="172">
        <f t="shared" si="2"/>
        <v>0</v>
      </c>
      <c r="K63" s="298">
        <f t="shared" si="3"/>
        <v>0</v>
      </c>
      <c r="L63" s="149"/>
      <c r="M63" s="166"/>
      <c r="O63" s="78"/>
      <c r="P63" s="79"/>
      <c r="Q63" s="149"/>
      <c r="R63" s="149"/>
      <c r="S63" s="78"/>
      <c r="T63" s="78"/>
    </row>
    <row r="64" spans="1:20" ht="18">
      <c r="A64" s="173">
        <f t="shared" si="4"/>
        <v>13</v>
      </c>
      <c r="B64" s="154"/>
      <c r="C64" s="154"/>
      <c r="D64" s="154"/>
      <c r="E64" s="154"/>
      <c r="F64" s="169">
        <f t="shared" si="0"/>
        <v>0</v>
      </c>
      <c r="H64" s="170">
        <f t="shared" si="5"/>
        <v>0</v>
      </c>
      <c r="I64" s="171">
        <f t="shared" si="1"/>
        <v>0</v>
      </c>
      <c r="J64" s="172">
        <f t="shared" si="2"/>
        <v>0</v>
      </c>
      <c r="K64" s="298">
        <f t="shared" si="3"/>
        <v>0</v>
      </c>
      <c r="L64" s="149"/>
      <c r="M64" s="166"/>
      <c r="O64" s="78"/>
      <c r="P64" s="79"/>
      <c r="Q64" s="149"/>
      <c r="R64" s="149"/>
      <c r="S64" s="78"/>
      <c r="T64" s="78"/>
    </row>
    <row r="65" spans="1:20" ht="18">
      <c r="A65" s="173">
        <f t="shared" si="4"/>
        <v>14</v>
      </c>
      <c r="B65" s="154"/>
      <c r="C65" s="154"/>
      <c r="D65" s="154"/>
      <c r="E65" s="154"/>
      <c r="F65" s="169">
        <f t="shared" si="0"/>
        <v>0</v>
      </c>
      <c r="H65" s="170">
        <f t="shared" si="5"/>
        <v>0</v>
      </c>
      <c r="I65" s="171">
        <f t="shared" si="1"/>
        <v>0</v>
      </c>
      <c r="J65" s="172">
        <f t="shared" si="2"/>
        <v>0</v>
      </c>
      <c r="K65" s="298">
        <f t="shared" si="3"/>
        <v>0</v>
      </c>
      <c r="L65" s="149"/>
      <c r="M65" s="166"/>
      <c r="O65" s="78"/>
      <c r="P65" s="79"/>
      <c r="Q65" s="149"/>
      <c r="R65" s="149"/>
      <c r="S65" s="78"/>
      <c r="T65" s="78"/>
    </row>
    <row r="66" spans="1:20" ht="18">
      <c r="A66" s="173">
        <f t="shared" si="4"/>
        <v>15</v>
      </c>
      <c r="B66" s="154"/>
      <c r="C66" s="154"/>
      <c r="D66" s="154"/>
      <c r="E66" s="154"/>
      <c r="F66" s="169">
        <f t="shared" si="0"/>
        <v>0</v>
      </c>
      <c r="H66" s="170">
        <f t="shared" si="5"/>
        <v>0</v>
      </c>
      <c r="I66" s="171">
        <f t="shared" si="1"/>
        <v>0</v>
      </c>
      <c r="J66" s="172">
        <f t="shared" si="2"/>
        <v>0</v>
      </c>
      <c r="K66" s="298">
        <f t="shared" si="3"/>
        <v>0</v>
      </c>
      <c r="L66" s="149"/>
      <c r="M66" s="166"/>
      <c r="O66" s="78"/>
      <c r="P66" s="79"/>
      <c r="Q66" s="149"/>
      <c r="R66" s="149"/>
      <c r="S66" s="78"/>
      <c r="T66" s="78"/>
    </row>
    <row r="67" spans="1:20" ht="18">
      <c r="A67" s="173">
        <f t="shared" si="4"/>
        <v>16</v>
      </c>
      <c r="B67" s="154"/>
      <c r="C67" s="154"/>
      <c r="D67" s="154"/>
      <c r="E67" s="154"/>
      <c r="F67" s="169">
        <f t="shared" si="0"/>
        <v>0</v>
      </c>
      <c r="H67" s="170">
        <f t="shared" si="5"/>
        <v>0</v>
      </c>
      <c r="I67" s="171">
        <f t="shared" si="1"/>
        <v>0</v>
      </c>
      <c r="J67" s="172">
        <f t="shared" si="2"/>
        <v>0</v>
      </c>
      <c r="K67" s="298">
        <f t="shared" si="3"/>
        <v>0</v>
      </c>
      <c r="L67" s="149"/>
      <c r="M67" s="166"/>
      <c r="O67" s="78"/>
      <c r="P67" s="79"/>
      <c r="Q67" s="149"/>
      <c r="R67" s="149"/>
      <c r="S67" s="78"/>
      <c r="T67" s="78"/>
    </row>
    <row r="68" spans="1:20" ht="18">
      <c r="A68" s="173">
        <f t="shared" si="4"/>
        <v>17</v>
      </c>
      <c r="B68" s="154"/>
      <c r="C68" s="154"/>
      <c r="D68" s="154"/>
      <c r="E68" s="154"/>
      <c r="F68" s="169">
        <f t="shared" si="0"/>
        <v>0</v>
      </c>
      <c r="H68" s="170">
        <f t="shared" si="5"/>
        <v>0</v>
      </c>
      <c r="I68" s="171">
        <f t="shared" si="1"/>
        <v>0</v>
      </c>
      <c r="J68" s="172">
        <f t="shared" si="2"/>
        <v>0</v>
      </c>
      <c r="K68" s="298">
        <f t="shared" si="3"/>
        <v>0</v>
      </c>
      <c r="L68" s="149"/>
      <c r="M68" s="166"/>
      <c r="O68" s="78"/>
      <c r="P68" s="79"/>
      <c r="Q68" s="149"/>
      <c r="R68" s="149"/>
      <c r="S68" s="78"/>
      <c r="T68" s="78"/>
    </row>
    <row r="69" spans="1:20" ht="18">
      <c r="A69" s="173">
        <f t="shared" si="4"/>
        <v>18</v>
      </c>
      <c r="B69" s="154"/>
      <c r="C69" s="154"/>
      <c r="D69" s="154"/>
      <c r="E69" s="154"/>
      <c r="F69" s="169">
        <f t="shared" si="0"/>
        <v>0</v>
      </c>
      <c r="H69" s="170">
        <f t="shared" si="5"/>
        <v>0</v>
      </c>
      <c r="I69" s="171">
        <f t="shared" si="1"/>
        <v>0</v>
      </c>
      <c r="J69" s="172">
        <f t="shared" si="2"/>
        <v>0</v>
      </c>
      <c r="K69" s="298">
        <f t="shared" si="3"/>
        <v>0</v>
      </c>
      <c r="L69" s="149"/>
      <c r="M69" s="166"/>
      <c r="O69" s="78"/>
      <c r="P69" s="79"/>
      <c r="Q69" s="149"/>
      <c r="R69" s="149"/>
      <c r="S69" s="78"/>
      <c r="T69" s="78"/>
    </row>
    <row r="70" spans="1:20" ht="18">
      <c r="A70" s="173">
        <f t="shared" si="4"/>
        <v>19</v>
      </c>
      <c r="B70" s="154"/>
      <c r="C70" s="154"/>
      <c r="D70" s="154"/>
      <c r="E70" s="154"/>
      <c r="F70" s="169">
        <f t="shared" si="0"/>
        <v>0</v>
      </c>
      <c r="H70" s="170">
        <f t="shared" si="5"/>
        <v>0</v>
      </c>
      <c r="I70" s="171">
        <f t="shared" si="1"/>
        <v>0</v>
      </c>
      <c r="J70" s="172">
        <f t="shared" si="2"/>
        <v>0</v>
      </c>
      <c r="K70" s="298">
        <f t="shared" si="3"/>
        <v>0</v>
      </c>
      <c r="L70" s="149"/>
      <c r="M70" s="166"/>
      <c r="O70" s="78"/>
      <c r="P70" s="79"/>
      <c r="Q70" s="149"/>
      <c r="R70" s="149"/>
      <c r="S70" s="78"/>
      <c r="T70" s="78"/>
    </row>
    <row r="71" spans="1:20" ht="18">
      <c r="A71" s="173">
        <f t="shared" si="4"/>
        <v>20</v>
      </c>
      <c r="B71" s="154"/>
      <c r="C71" s="154"/>
      <c r="D71" s="154"/>
      <c r="E71" s="154"/>
      <c r="F71" s="169">
        <f t="shared" si="0"/>
        <v>0</v>
      </c>
      <c r="H71" s="170">
        <f t="shared" si="5"/>
        <v>0</v>
      </c>
      <c r="I71" s="171">
        <f t="shared" si="1"/>
        <v>0</v>
      </c>
      <c r="J71" s="172">
        <f t="shared" si="2"/>
        <v>0</v>
      </c>
      <c r="K71" s="298">
        <f t="shared" si="3"/>
        <v>0</v>
      </c>
      <c r="L71" s="149"/>
      <c r="M71" s="166"/>
      <c r="O71" s="78"/>
      <c r="P71" s="79"/>
      <c r="Q71" s="149"/>
      <c r="R71" s="149"/>
      <c r="S71" s="78"/>
      <c r="T71" s="78"/>
    </row>
    <row r="72" spans="1:20" ht="18">
      <c r="A72" s="173">
        <f t="shared" si="4"/>
        <v>21</v>
      </c>
      <c r="B72" s="154"/>
      <c r="C72" s="154"/>
      <c r="D72" s="154"/>
      <c r="E72" s="154"/>
      <c r="F72" s="169">
        <f t="shared" si="0"/>
        <v>0</v>
      </c>
      <c r="H72" s="170">
        <f t="shared" si="5"/>
        <v>0</v>
      </c>
      <c r="I72" s="171">
        <f t="shared" si="1"/>
        <v>0</v>
      </c>
      <c r="J72" s="172">
        <f t="shared" si="2"/>
        <v>0</v>
      </c>
      <c r="K72" s="298">
        <f t="shared" si="3"/>
        <v>0</v>
      </c>
      <c r="L72" s="149"/>
      <c r="M72" s="166"/>
      <c r="O72" s="78"/>
      <c r="P72" s="78"/>
      <c r="Q72" s="78"/>
      <c r="R72" s="78"/>
      <c r="S72" s="78"/>
      <c r="T72" s="78"/>
    </row>
    <row r="73" spans="1:20" ht="18">
      <c r="A73" s="173">
        <f t="shared" si="4"/>
        <v>22</v>
      </c>
      <c r="B73" s="154"/>
      <c r="C73" s="154"/>
      <c r="D73" s="154"/>
      <c r="E73" s="154"/>
      <c r="F73" s="169">
        <f t="shared" si="0"/>
        <v>0</v>
      </c>
      <c r="H73" s="170">
        <f t="shared" si="5"/>
        <v>0</v>
      </c>
      <c r="I73" s="171">
        <f t="shared" si="1"/>
        <v>0</v>
      </c>
      <c r="J73" s="172">
        <f t="shared" si="2"/>
        <v>0</v>
      </c>
      <c r="K73" s="298">
        <f t="shared" si="3"/>
        <v>0</v>
      </c>
      <c r="L73" s="149"/>
      <c r="M73" s="166"/>
      <c r="O73" s="78"/>
      <c r="P73" s="78"/>
      <c r="Q73" s="78"/>
      <c r="R73" s="78"/>
      <c r="S73" s="78"/>
      <c r="T73" s="78"/>
    </row>
    <row r="74" spans="1:20" ht="18">
      <c r="A74" s="173">
        <f t="shared" si="4"/>
        <v>23</v>
      </c>
      <c r="B74" s="154"/>
      <c r="C74" s="154"/>
      <c r="D74" s="154"/>
      <c r="E74" s="154"/>
      <c r="F74" s="169">
        <f t="shared" si="0"/>
        <v>0</v>
      </c>
      <c r="H74" s="170">
        <f t="shared" si="5"/>
        <v>0</v>
      </c>
      <c r="I74" s="171">
        <f t="shared" si="1"/>
        <v>0</v>
      </c>
      <c r="J74" s="172">
        <f t="shared" si="2"/>
        <v>0</v>
      </c>
      <c r="K74" s="298">
        <f t="shared" si="3"/>
        <v>0</v>
      </c>
      <c r="L74" s="149"/>
      <c r="M74" s="166"/>
      <c r="O74" s="78"/>
      <c r="P74" s="78"/>
      <c r="Q74" s="78"/>
      <c r="R74" s="78"/>
      <c r="S74" s="78"/>
      <c r="T74" s="78"/>
    </row>
    <row r="75" spans="1:20" ht="18.75" thickBot="1">
      <c r="A75" s="173">
        <f t="shared" si="4"/>
        <v>24</v>
      </c>
      <c r="B75" s="154"/>
      <c r="C75" s="154"/>
      <c r="D75" s="154"/>
      <c r="E75" s="154"/>
      <c r="F75" s="169">
        <f t="shared" si="0"/>
        <v>0</v>
      </c>
      <c r="H75" s="170">
        <f t="shared" si="5"/>
        <v>0</v>
      </c>
      <c r="I75" s="171">
        <f t="shared" si="1"/>
        <v>0</v>
      </c>
      <c r="J75" s="172">
        <f t="shared" si="2"/>
        <v>0</v>
      </c>
      <c r="K75" s="298">
        <f t="shared" si="3"/>
        <v>0</v>
      </c>
      <c r="L75" s="149"/>
      <c r="M75" s="174"/>
      <c r="O75" s="78"/>
      <c r="P75" s="78"/>
      <c r="Q75" s="78"/>
      <c r="R75" s="78"/>
      <c r="S75" s="78"/>
      <c r="T75" s="78"/>
    </row>
    <row r="76" spans="1:18" ht="21" thickBot="1">
      <c r="A76" s="173">
        <f t="shared" si="4"/>
        <v>25</v>
      </c>
      <c r="B76" s="154"/>
      <c r="C76" s="154"/>
      <c r="D76" s="154"/>
      <c r="E76" s="154"/>
      <c r="F76" s="169">
        <f t="shared" si="0"/>
        <v>0</v>
      </c>
      <c r="H76" s="170">
        <f t="shared" si="5"/>
        <v>0</v>
      </c>
      <c r="I76" s="171">
        <f t="shared" si="1"/>
        <v>0</v>
      </c>
      <c r="J76" s="172">
        <f t="shared" si="2"/>
        <v>0</v>
      </c>
      <c r="K76" s="298">
        <f t="shared" si="3"/>
        <v>0</v>
      </c>
      <c r="L76" s="302" t="s">
        <v>304</v>
      </c>
      <c r="M76" s="292" t="s">
        <v>310</v>
      </c>
      <c r="N76" s="832" t="s">
        <v>311</v>
      </c>
      <c r="O76" s="833"/>
      <c r="P76" s="833"/>
      <c r="Q76" s="833"/>
      <c r="R76" s="834"/>
    </row>
    <row r="77" spans="1:20" ht="21.75" thickBot="1" thickTop="1">
      <c r="A77" s="78"/>
      <c r="B77" s="175">
        <f>SUM(B51:B76)</f>
        <v>45</v>
      </c>
      <c r="C77" s="175">
        <f>SUM(C51:C76)</f>
        <v>3</v>
      </c>
      <c r="D77" s="175">
        <f>MAX(D51:D76)</f>
        <v>1</v>
      </c>
      <c r="E77" s="78"/>
      <c r="F77" s="78"/>
      <c r="H77" s="138">
        <f>SUM(H51:H76)</f>
        <v>186.19999999999996</v>
      </c>
      <c r="I77" s="139">
        <f>SUM(I51:I76)</f>
        <v>2.7</v>
      </c>
      <c r="J77" s="140">
        <f>SUM(J51:J76)</f>
        <v>0</v>
      </c>
      <c r="K77" s="141">
        <f>SUM(K51:K76)</f>
        <v>4.5</v>
      </c>
      <c r="L77" s="300">
        <f>+D77*Q28</f>
        <v>1.5</v>
      </c>
      <c r="M77" s="301">
        <f>+Q42*(1+A79)</f>
        <v>6.1</v>
      </c>
      <c r="N77" s="810">
        <f>SUM(H77:M77)</f>
        <v>200.99999999999994</v>
      </c>
      <c r="O77" s="811"/>
      <c r="P77" s="809"/>
      <c r="Q77" s="808" t="s">
        <v>23</v>
      </c>
      <c r="R77" s="809"/>
      <c r="S77" s="78"/>
      <c r="T77" s="78"/>
    </row>
    <row r="78" spans="1:20" ht="20.25">
      <c r="A78" s="808" t="s">
        <v>305</v>
      </c>
      <c r="B78" s="830"/>
      <c r="C78" s="830"/>
      <c r="D78" s="830"/>
      <c r="E78" s="830"/>
      <c r="F78" s="831"/>
      <c r="G78" s="78"/>
      <c r="I78" s="122"/>
      <c r="J78" s="122"/>
      <c r="K78" s="122"/>
      <c r="L78" s="122"/>
      <c r="M78" s="122"/>
      <c r="N78" s="812">
        <f>+N77/60</f>
        <v>3.349999999999999</v>
      </c>
      <c r="O78" s="811"/>
      <c r="P78" s="809"/>
      <c r="Q78" s="808" t="s">
        <v>31</v>
      </c>
      <c r="R78" s="809"/>
      <c r="S78" s="78"/>
      <c r="T78" s="78"/>
    </row>
    <row r="79" spans="1:22" ht="21" thickBot="1">
      <c r="A79" s="825">
        <v>0</v>
      </c>
      <c r="B79" s="826"/>
      <c r="C79" s="826"/>
      <c r="D79" s="826"/>
      <c r="E79" s="826"/>
      <c r="F79" s="82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</row>
    <row r="80" spans="1:22" ht="30" customHeight="1" thickBot="1">
      <c r="A80" s="78"/>
      <c r="B80" s="78"/>
      <c r="C80" s="78"/>
      <c r="D80" s="78"/>
      <c r="E80" s="78"/>
      <c r="F80" s="78"/>
      <c r="G80" s="78"/>
      <c r="H80" s="78"/>
      <c r="I80" s="828" t="s">
        <v>108</v>
      </c>
      <c r="J80" s="829"/>
      <c r="K80" s="829"/>
      <c r="L80" s="829"/>
      <c r="M80" s="829"/>
      <c r="N80" s="236"/>
      <c r="O80" s="576">
        <f>ROUNDUP(B77/N77*60,1)</f>
        <v>13.5</v>
      </c>
      <c r="P80" s="237" t="s">
        <v>262</v>
      </c>
      <c r="Q80" s="238"/>
      <c r="R80" s="238"/>
      <c r="U80" s="78"/>
      <c r="V80" s="78"/>
    </row>
    <row r="81" spans="1:22" ht="18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</row>
    <row r="82" spans="1:22" ht="20.25">
      <c r="A82" s="78"/>
      <c r="B82" s="78"/>
      <c r="C82" s="78"/>
      <c r="D82" s="78"/>
      <c r="E82" s="78"/>
      <c r="F82" s="78"/>
      <c r="G82" s="78"/>
      <c r="H82" s="78"/>
      <c r="I82"/>
      <c r="J82"/>
      <c r="K82"/>
      <c r="L82"/>
      <c r="M82"/>
      <c r="N82"/>
      <c r="O82" s="239">
        <f>+O80*3.28</f>
        <v>44.279999999999994</v>
      </c>
      <c r="P82" s="237" t="s">
        <v>312</v>
      </c>
      <c r="Q82" s="78"/>
      <c r="R82" s="78"/>
      <c r="S82" s="78"/>
      <c r="T82" s="78"/>
      <c r="U82" s="78"/>
      <c r="V82" s="78"/>
    </row>
    <row r="83" spans="1:52" ht="18">
      <c r="A83" s="78"/>
      <c r="B83" s="78"/>
      <c r="C83" s="78"/>
      <c r="D83" s="78"/>
      <c r="E83" s="78"/>
      <c r="F83" s="78"/>
      <c r="G83" s="78"/>
      <c r="H83" s="78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1:52" ht="18">
      <c r="A84" s="78"/>
      <c r="B84" s="78"/>
      <c r="C84" s="78"/>
      <c r="D84" s="78"/>
      <c r="E84" s="78"/>
      <c r="F84" s="78"/>
      <c r="G84" s="78"/>
      <c r="H84" s="78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</row>
    <row r="85" spans="1:52" ht="18">
      <c r="A85" s="78"/>
      <c r="B85" s="78"/>
      <c r="C85" s="78"/>
      <c r="D85" s="78"/>
      <c r="E85" s="78"/>
      <c r="F85" s="78"/>
      <c r="G85" s="78"/>
      <c r="H85" s="78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1:22" ht="18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</row>
    <row r="87" spans="1:22" ht="18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</row>
    <row r="88" spans="1:22" ht="18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</row>
    <row r="89" spans="1:22" ht="18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</row>
    <row r="90" spans="1:22" ht="18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</row>
    <row r="91" spans="1:22" ht="18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</row>
    <row r="92" spans="1:22" ht="18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</row>
    <row r="93" spans="1:22" ht="18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</row>
    <row r="94" spans="1:22" ht="18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</row>
  </sheetData>
  <mergeCells count="45">
    <mergeCell ref="K41:P41"/>
    <mergeCell ref="H49:J49"/>
    <mergeCell ref="K35:P35"/>
    <mergeCell ref="K36:P36"/>
    <mergeCell ref="K39:P39"/>
    <mergeCell ref="K40:P40"/>
    <mergeCell ref="K49:M49"/>
    <mergeCell ref="I80:M80"/>
    <mergeCell ref="A78:F78"/>
    <mergeCell ref="B28:F28"/>
    <mergeCell ref="B29:F29"/>
    <mergeCell ref="B30:F30"/>
    <mergeCell ref="B31:F31"/>
    <mergeCell ref="K37:P37"/>
    <mergeCell ref="K38:P38"/>
    <mergeCell ref="N76:R76"/>
    <mergeCell ref="K33:P33"/>
    <mergeCell ref="B15:F15"/>
    <mergeCell ref="L10:O10"/>
    <mergeCell ref="K27:P27"/>
    <mergeCell ref="A79:F79"/>
    <mergeCell ref="K26:P26"/>
    <mergeCell ref="K17:P17"/>
    <mergeCell ref="K18:P18"/>
    <mergeCell ref="K19:P19"/>
    <mergeCell ref="K25:P25"/>
    <mergeCell ref="K34:P34"/>
    <mergeCell ref="L11:O11"/>
    <mergeCell ref="E47:G47"/>
    <mergeCell ref="E46:G46"/>
    <mergeCell ref="L8:O8"/>
    <mergeCell ref="L9:O9"/>
    <mergeCell ref="B32:F32"/>
    <mergeCell ref="B33:F33"/>
    <mergeCell ref="B12:F12"/>
    <mergeCell ref="B13:F13"/>
    <mergeCell ref="B14:F14"/>
    <mergeCell ref="B8:F8"/>
    <mergeCell ref="B9:F9"/>
    <mergeCell ref="B10:F10"/>
    <mergeCell ref="B11:F11"/>
    <mergeCell ref="Q77:R77"/>
    <mergeCell ref="Q78:R78"/>
    <mergeCell ref="N77:P77"/>
    <mergeCell ref="N78:P78"/>
  </mergeCells>
  <printOptions/>
  <pageMargins left="0.75" right="0.75" top="1" bottom="1" header="0.5" footer="0.5"/>
  <pageSetup cellComments="asDisplayed" horizontalDpi="600" verticalDpi="600" orientation="landscape" scale="45" r:id="rId3"/>
  <headerFooter alignWithMargins="0">
    <oddFooter>&amp;LFile:  &amp;F
Sheet:  &amp;A
Page &amp;P of &amp;N&amp;CExperimental Mine
Val-d'Or&amp;R&amp;D
&amp;T</oddFooter>
  </headerFooter>
  <rowBreaks count="1" manualBreakCount="1">
    <brk id="43" max="2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I69"/>
  <sheetViews>
    <sheetView zoomScale="50" zoomScaleNormal="50" workbookViewId="0" topLeftCell="A1">
      <selection activeCell="A2" sqref="A2"/>
    </sheetView>
  </sheetViews>
  <sheetFormatPr defaultColWidth="9.140625" defaultRowHeight="12.75"/>
  <cols>
    <col min="1" max="1" width="16.57421875" style="143" customWidth="1"/>
    <col min="2" max="2" width="21.00390625" style="143" customWidth="1"/>
    <col min="3" max="3" width="23.28125" style="143" customWidth="1"/>
    <col min="4" max="4" width="17.57421875" style="143" customWidth="1"/>
    <col min="5" max="5" width="14.8515625" style="143" customWidth="1"/>
    <col min="6" max="6" width="16.8515625" style="143" customWidth="1"/>
    <col min="7" max="7" width="21.57421875" style="143" customWidth="1"/>
    <col min="8" max="8" width="17.7109375" style="143" customWidth="1"/>
    <col min="9" max="9" width="13.7109375" style="143" customWidth="1"/>
    <col min="10" max="10" width="19.140625" style="143" customWidth="1"/>
    <col min="11" max="11" width="13.7109375" style="143" customWidth="1"/>
    <col min="12" max="12" width="15.421875" style="143" customWidth="1"/>
    <col min="13" max="13" width="11.00390625" style="143" customWidth="1"/>
    <col min="14" max="14" width="11.8515625" style="143" customWidth="1"/>
    <col min="15" max="15" width="12.28125" style="143" customWidth="1"/>
    <col min="16" max="16" width="9.57421875" style="143" customWidth="1"/>
    <col min="17" max="17" width="16.8515625" style="143" customWidth="1"/>
    <col min="18" max="18" width="9.140625" style="143" customWidth="1"/>
    <col min="19" max="19" width="9.8515625" style="143" bestFit="1" customWidth="1"/>
    <col min="20" max="20" width="6.28125" style="143" customWidth="1"/>
    <col min="21" max="21" width="2.57421875" style="143" customWidth="1"/>
    <col min="22" max="16384" width="9.140625" style="143" customWidth="1"/>
  </cols>
  <sheetData>
    <row r="1" ht="10.5" customHeight="1"/>
    <row r="2" ht="31.5">
      <c r="A2" s="293" t="s">
        <v>157</v>
      </c>
    </row>
    <row r="3" spans="1:15" ht="31.5">
      <c r="A3" s="294" t="s">
        <v>320</v>
      </c>
      <c r="O3" s="418" t="s">
        <v>416</v>
      </c>
    </row>
    <row r="4" ht="22.5">
      <c r="A4" s="142"/>
    </row>
    <row r="5" spans="1:21" ht="12" customHeight="1">
      <c r="A5" s="144"/>
      <c r="B5" s="145"/>
      <c r="C5" s="145"/>
      <c r="D5" s="145"/>
      <c r="E5" s="145"/>
      <c r="F5" s="145"/>
      <c r="G5" s="145"/>
      <c r="H5" s="145"/>
      <c r="I5" s="146"/>
      <c r="K5" s="159"/>
      <c r="L5" s="160"/>
      <c r="M5" s="160"/>
      <c r="N5" s="160"/>
      <c r="O5" s="160"/>
      <c r="P5" s="160"/>
      <c r="Q5" s="160"/>
      <c r="R5" s="160"/>
      <c r="S5" s="160"/>
      <c r="T5" s="146"/>
      <c r="U5" s="147"/>
    </row>
    <row r="6" spans="1:22" ht="23.25">
      <c r="A6" s="119" t="s">
        <v>331</v>
      </c>
      <c r="B6" s="149"/>
      <c r="C6" s="149"/>
      <c r="D6" s="149"/>
      <c r="E6" s="149"/>
      <c r="F6" s="149"/>
      <c r="G6" s="852" t="s">
        <v>109</v>
      </c>
      <c r="H6" s="853"/>
      <c r="I6" s="150"/>
      <c r="J6" s="78"/>
      <c r="K6" s="151"/>
      <c r="L6" s="118" t="s">
        <v>296</v>
      </c>
      <c r="M6" s="149"/>
      <c r="N6" s="149"/>
      <c r="O6" s="149"/>
      <c r="P6" s="149"/>
      <c r="Q6" s="149"/>
      <c r="R6" s="149"/>
      <c r="S6" s="149"/>
      <c r="T6" s="152"/>
      <c r="U6" s="149"/>
      <c r="V6" s="78"/>
    </row>
    <row r="7" spans="1:22" ht="20.25">
      <c r="A7" s="148"/>
      <c r="B7" s="149"/>
      <c r="C7" s="149"/>
      <c r="D7" s="149"/>
      <c r="E7" s="149"/>
      <c r="F7" s="149"/>
      <c r="G7" s="179" t="s">
        <v>216</v>
      </c>
      <c r="H7" s="180" t="s">
        <v>217</v>
      </c>
      <c r="I7" s="150"/>
      <c r="J7" s="78"/>
      <c r="K7" s="151"/>
      <c r="L7" s="149"/>
      <c r="M7" s="149"/>
      <c r="N7" s="149"/>
      <c r="O7" s="149"/>
      <c r="P7" s="149"/>
      <c r="Q7" s="340" t="s">
        <v>1</v>
      </c>
      <c r="R7" s="149"/>
      <c r="S7" s="149"/>
      <c r="T7" s="152"/>
      <c r="U7" s="149"/>
      <c r="V7" s="78"/>
    </row>
    <row r="8" spans="1:22" ht="18.75" thickBot="1">
      <c r="A8" s="151"/>
      <c r="B8" s="149"/>
      <c r="C8" s="149"/>
      <c r="D8" s="149"/>
      <c r="E8" s="149"/>
      <c r="F8" s="149"/>
      <c r="G8" s="181">
        <v>54</v>
      </c>
      <c r="H8" s="181">
        <v>102</v>
      </c>
      <c r="I8" s="150"/>
      <c r="J8" s="78"/>
      <c r="K8" s="151"/>
      <c r="L8" s="149"/>
      <c r="M8" s="821" t="s">
        <v>317</v>
      </c>
      <c r="N8" s="822"/>
      <c r="O8" s="822"/>
      <c r="P8" s="823"/>
      <c r="Q8" s="153">
        <v>0.5</v>
      </c>
      <c r="R8" s="149"/>
      <c r="S8" s="149"/>
      <c r="T8" s="152"/>
      <c r="U8" s="149"/>
      <c r="V8" s="78"/>
    </row>
    <row r="9" spans="1:22" ht="18.75" thickTop="1">
      <c r="A9" s="151"/>
      <c r="B9" s="813" t="s">
        <v>293</v>
      </c>
      <c r="C9" s="813"/>
      <c r="D9" s="813"/>
      <c r="E9" s="813"/>
      <c r="F9" s="813"/>
      <c r="G9" s="153">
        <v>0.4</v>
      </c>
      <c r="H9" s="182">
        <v>0.4</v>
      </c>
      <c r="I9" s="150"/>
      <c r="J9" s="78"/>
      <c r="K9" s="151"/>
      <c r="L9" s="149"/>
      <c r="M9" s="821" t="s">
        <v>284</v>
      </c>
      <c r="N9" s="822"/>
      <c r="O9" s="822"/>
      <c r="P9" s="823"/>
      <c r="Q9" s="153">
        <v>0.4</v>
      </c>
      <c r="R9" s="149"/>
      <c r="S9" s="149"/>
      <c r="T9" s="152"/>
      <c r="V9" s="78"/>
    </row>
    <row r="10" spans="1:20" ht="18">
      <c r="A10" s="151"/>
      <c r="B10" s="814" t="s">
        <v>272</v>
      </c>
      <c r="C10" s="814"/>
      <c r="D10" s="814"/>
      <c r="E10" s="814"/>
      <c r="F10" s="814"/>
      <c r="G10" s="279">
        <v>1.5</v>
      </c>
      <c r="H10" s="279">
        <v>2.4</v>
      </c>
      <c r="I10" s="150"/>
      <c r="J10" s="78"/>
      <c r="K10" s="151"/>
      <c r="L10" s="149"/>
      <c r="M10" s="815"/>
      <c r="N10" s="816"/>
      <c r="O10" s="816"/>
      <c r="P10" s="817"/>
      <c r="Q10" s="153"/>
      <c r="R10" s="149"/>
      <c r="S10" s="149"/>
      <c r="T10" s="152"/>
    </row>
    <row r="11" spans="1:20" ht="18">
      <c r="A11" s="151"/>
      <c r="B11" s="813" t="s">
        <v>273</v>
      </c>
      <c r="C11" s="813"/>
      <c r="D11" s="813"/>
      <c r="E11" s="813"/>
      <c r="F11" s="813"/>
      <c r="G11" s="153">
        <v>0.4</v>
      </c>
      <c r="H11" s="153">
        <v>0.8</v>
      </c>
      <c r="I11" s="150"/>
      <c r="J11" s="78"/>
      <c r="K11" s="151"/>
      <c r="L11" s="149"/>
      <c r="M11" s="815"/>
      <c r="N11" s="816"/>
      <c r="O11" s="816"/>
      <c r="P11" s="817"/>
      <c r="Q11" s="153"/>
      <c r="R11" s="149"/>
      <c r="S11" s="149"/>
      <c r="T11" s="152"/>
    </row>
    <row r="12" spans="1:20" ht="20.25">
      <c r="A12" s="151"/>
      <c r="B12" s="813" t="s">
        <v>294</v>
      </c>
      <c r="C12" s="813"/>
      <c r="D12" s="813"/>
      <c r="E12" s="813"/>
      <c r="F12" s="813"/>
      <c r="G12" s="153">
        <v>0.5</v>
      </c>
      <c r="H12" s="153">
        <v>0.5</v>
      </c>
      <c r="I12" s="150"/>
      <c r="J12" s="78"/>
      <c r="K12" s="151"/>
      <c r="L12" s="149"/>
      <c r="M12" s="149"/>
      <c r="N12" s="149"/>
      <c r="O12" s="149"/>
      <c r="P12" s="149"/>
      <c r="Q12" s="126">
        <f>SUM(Q8:Q11)</f>
        <v>0.9</v>
      </c>
      <c r="R12" s="123" t="s">
        <v>143</v>
      </c>
      <c r="S12" s="121"/>
      <c r="T12" s="152"/>
    </row>
    <row r="13" spans="1:20" ht="20.25">
      <c r="A13" s="151"/>
      <c r="B13" s="813" t="s">
        <v>274</v>
      </c>
      <c r="C13" s="813"/>
      <c r="D13" s="813"/>
      <c r="E13" s="813"/>
      <c r="F13" s="813"/>
      <c r="G13" s="153">
        <v>1.4</v>
      </c>
      <c r="H13" s="153">
        <v>2</v>
      </c>
      <c r="I13" s="150"/>
      <c r="J13" s="78"/>
      <c r="K13" s="156"/>
      <c r="L13" s="157"/>
      <c r="M13" s="157"/>
      <c r="N13" s="157"/>
      <c r="O13" s="157"/>
      <c r="P13" s="157"/>
      <c r="Q13" s="127"/>
      <c r="R13" s="568" t="s">
        <v>102</v>
      </c>
      <c r="S13" s="127"/>
      <c r="T13" s="158"/>
    </row>
    <row r="14" spans="1:20" ht="18">
      <c r="A14" s="151"/>
      <c r="B14" s="813" t="s">
        <v>275</v>
      </c>
      <c r="C14" s="813"/>
      <c r="D14" s="813"/>
      <c r="E14" s="813"/>
      <c r="F14" s="813"/>
      <c r="G14" s="154">
        <v>0.7</v>
      </c>
      <c r="H14" s="154">
        <v>0.8</v>
      </c>
      <c r="I14" s="150"/>
      <c r="J14" s="78"/>
      <c r="K14" s="159"/>
      <c r="L14" s="160"/>
      <c r="M14" s="160"/>
      <c r="N14" s="160"/>
      <c r="O14" s="160"/>
      <c r="P14" s="160"/>
      <c r="Q14" s="160"/>
      <c r="R14" s="160"/>
      <c r="S14" s="160"/>
      <c r="T14" s="162"/>
    </row>
    <row r="15" spans="1:22" ht="23.25">
      <c r="A15" s="151"/>
      <c r="B15" s="824"/>
      <c r="C15" s="824"/>
      <c r="D15" s="824"/>
      <c r="E15" s="824"/>
      <c r="F15" s="824"/>
      <c r="G15" s="154"/>
      <c r="H15" s="154"/>
      <c r="I15" s="150"/>
      <c r="J15" s="78"/>
      <c r="K15" s="120"/>
      <c r="L15" s="101" t="s">
        <v>103</v>
      </c>
      <c r="M15" s="149"/>
      <c r="N15" s="149"/>
      <c r="O15" s="149"/>
      <c r="P15" s="149"/>
      <c r="Q15" s="149"/>
      <c r="R15" s="149"/>
      <c r="T15" s="150"/>
      <c r="V15" s="78"/>
    </row>
    <row r="16" spans="1:22" ht="23.25">
      <c r="A16" s="151"/>
      <c r="B16" s="824"/>
      <c r="C16" s="824"/>
      <c r="D16" s="824"/>
      <c r="E16" s="824"/>
      <c r="F16" s="824"/>
      <c r="G16" s="154"/>
      <c r="H16" s="154"/>
      <c r="I16" s="150"/>
      <c r="J16" s="78"/>
      <c r="K16" s="130"/>
      <c r="L16" s="296"/>
      <c r="M16" s="149"/>
      <c r="N16" s="149"/>
      <c r="O16" s="149"/>
      <c r="P16" s="149"/>
      <c r="Q16" s="149"/>
      <c r="R16" s="340" t="s">
        <v>1</v>
      </c>
      <c r="T16" s="150"/>
      <c r="U16" s="149"/>
      <c r="V16" s="78"/>
    </row>
    <row r="17" spans="1:22" ht="20.25">
      <c r="A17" s="151"/>
      <c r="B17" s="149"/>
      <c r="C17" s="149"/>
      <c r="D17" s="78"/>
      <c r="E17" s="149"/>
      <c r="F17" s="125" t="s">
        <v>104</v>
      </c>
      <c r="G17" s="126">
        <f>SUM(G9:G14)</f>
        <v>4.8999999999999995</v>
      </c>
      <c r="H17" s="126">
        <f>SUM(H9:H14)</f>
        <v>6.8999999999999995</v>
      </c>
      <c r="I17" s="554" t="s">
        <v>142</v>
      </c>
      <c r="J17" s="78"/>
      <c r="K17" s="151"/>
      <c r="L17" s="813" t="s">
        <v>286</v>
      </c>
      <c r="M17" s="813"/>
      <c r="N17" s="813"/>
      <c r="O17" s="813"/>
      <c r="P17" s="813"/>
      <c r="Q17" s="813"/>
      <c r="R17" s="153">
        <v>0.7</v>
      </c>
      <c r="T17" s="150"/>
      <c r="U17" s="149"/>
      <c r="V17" s="78"/>
    </row>
    <row r="18" spans="1:20" ht="20.25">
      <c r="A18" s="151"/>
      <c r="G18" s="123"/>
      <c r="H18" s="149"/>
      <c r="I18" s="150"/>
      <c r="J18" s="78"/>
      <c r="K18" s="151"/>
      <c r="L18" s="813" t="s">
        <v>285</v>
      </c>
      <c r="M18" s="813"/>
      <c r="N18" s="813"/>
      <c r="O18" s="813"/>
      <c r="P18" s="813"/>
      <c r="Q18" s="813"/>
      <c r="R18" s="153">
        <v>0.8</v>
      </c>
      <c r="T18" s="150"/>
    </row>
    <row r="19" spans="1:22" ht="20.25" customHeight="1">
      <c r="A19" s="151"/>
      <c r="C19" s="849" t="s">
        <v>276</v>
      </c>
      <c r="D19" s="850"/>
      <c r="E19" s="851"/>
      <c r="F19" s="128">
        <v>1.2</v>
      </c>
      <c r="G19" s="121"/>
      <c r="H19" s="149"/>
      <c r="I19" s="150"/>
      <c r="J19" s="78"/>
      <c r="K19" s="151"/>
      <c r="L19" s="824"/>
      <c r="M19" s="824"/>
      <c r="N19" s="824"/>
      <c r="O19" s="824"/>
      <c r="P19" s="824"/>
      <c r="Q19" s="824"/>
      <c r="R19" s="154"/>
      <c r="T19" s="150"/>
      <c r="U19" s="149"/>
      <c r="V19" s="78"/>
    </row>
    <row r="20" spans="1:22" ht="20.25">
      <c r="A20" s="151"/>
      <c r="H20" s="149"/>
      <c r="I20" s="150"/>
      <c r="J20" s="78"/>
      <c r="K20" s="151"/>
      <c r="L20" s="79"/>
      <c r="M20" s="149"/>
      <c r="N20" s="149"/>
      <c r="O20" s="78"/>
      <c r="P20" s="78"/>
      <c r="Q20" s="125" t="s">
        <v>321</v>
      </c>
      <c r="R20" s="126">
        <f>SUM(R17:R19)</f>
        <v>1.5</v>
      </c>
      <c r="S20" s="123" t="s">
        <v>1</v>
      </c>
      <c r="T20" s="150"/>
      <c r="U20" s="149"/>
      <c r="V20" s="78"/>
    </row>
    <row r="21" spans="1:22" ht="20.25">
      <c r="A21" s="151"/>
      <c r="B21" s="122"/>
      <c r="C21" s="125" t="s">
        <v>277</v>
      </c>
      <c r="D21" s="102">
        <f>+G8</f>
        <v>54</v>
      </c>
      <c r="E21" s="103" t="s">
        <v>11</v>
      </c>
      <c r="F21" s="126">
        <f>+$G$17/F19</f>
        <v>4.083333333333333</v>
      </c>
      <c r="G21" s="123" t="s">
        <v>328</v>
      </c>
      <c r="H21" s="149"/>
      <c r="I21" s="150"/>
      <c r="J21" s="78"/>
      <c r="K21" s="156"/>
      <c r="L21" s="235"/>
      <c r="M21" s="235"/>
      <c r="N21" s="235"/>
      <c r="O21" s="235"/>
      <c r="P21" s="235"/>
      <c r="Q21" s="235"/>
      <c r="R21" s="235"/>
      <c r="S21" s="555"/>
      <c r="T21" s="161"/>
      <c r="U21" s="149"/>
      <c r="V21" s="78"/>
    </row>
    <row r="22" spans="1:22" ht="20.25">
      <c r="A22" s="151"/>
      <c r="B22" s="123"/>
      <c r="C22" s="123"/>
      <c r="D22" s="102">
        <f>+H8</f>
        <v>102</v>
      </c>
      <c r="E22" s="103" t="s">
        <v>11</v>
      </c>
      <c r="F22" s="126">
        <f>+$H$17/F19</f>
        <v>5.75</v>
      </c>
      <c r="G22" s="123" t="s">
        <v>328</v>
      </c>
      <c r="H22" s="149"/>
      <c r="I22" s="150"/>
      <c r="J22" s="78"/>
      <c r="K22" s="159"/>
      <c r="L22" s="160"/>
      <c r="M22" s="160"/>
      <c r="N22" s="160"/>
      <c r="O22" s="160"/>
      <c r="P22" s="160"/>
      <c r="Q22" s="160"/>
      <c r="R22" s="160"/>
      <c r="S22" s="160"/>
      <c r="T22" s="146"/>
      <c r="U22" s="149"/>
      <c r="V22" s="78"/>
    </row>
    <row r="23" spans="1:22" ht="23.25">
      <c r="A23" s="151"/>
      <c r="B23" s="149"/>
      <c r="C23" s="149"/>
      <c r="D23" s="149"/>
      <c r="E23" s="149"/>
      <c r="F23" s="149"/>
      <c r="G23" s="149"/>
      <c r="H23" s="149"/>
      <c r="I23" s="150"/>
      <c r="J23" s="78"/>
      <c r="K23" s="120"/>
      <c r="L23" s="101" t="s">
        <v>298</v>
      </c>
      <c r="S23" s="149"/>
      <c r="T23" s="152"/>
      <c r="U23" s="149"/>
      <c r="V23" s="78"/>
    </row>
    <row r="24" spans="1:22" ht="23.25">
      <c r="A24" s="156"/>
      <c r="B24" s="157"/>
      <c r="C24" s="157"/>
      <c r="D24" s="157"/>
      <c r="E24" s="157"/>
      <c r="F24" s="157"/>
      <c r="G24" s="157"/>
      <c r="H24" s="157"/>
      <c r="I24" s="161"/>
      <c r="J24" s="78"/>
      <c r="K24" s="130"/>
      <c r="L24" s="296" t="s">
        <v>299</v>
      </c>
      <c r="M24" s="149"/>
      <c r="N24" s="149"/>
      <c r="O24" s="149"/>
      <c r="P24" s="149"/>
      <c r="Q24" s="149"/>
      <c r="R24" s="340" t="s">
        <v>1</v>
      </c>
      <c r="S24" s="149"/>
      <c r="T24" s="152"/>
      <c r="U24" s="149"/>
      <c r="V24" s="78"/>
    </row>
    <row r="25" spans="1:22" ht="18">
      <c r="A25" s="144"/>
      <c r="B25" s="145"/>
      <c r="C25" s="145"/>
      <c r="D25" s="145"/>
      <c r="E25" s="145"/>
      <c r="F25" s="145"/>
      <c r="G25" s="145"/>
      <c r="H25" s="145"/>
      <c r="I25" s="146"/>
      <c r="K25" s="151"/>
      <c r="L25" s="813" t="s">
        <v>287</v>
      </c>
      <c r="M25" s="813"/>
      <c r="N25" s="813"/>
      <c r="O25" s="813"/>
      <c r="P25" s="813"/>
      <c r="Q25" s="813"/>
      <c r="R25" s="153">
        <v>1</v>
      </c>
      <c r="S25" s="149"/>
      <c r="T25" s="152"/>
      <c r="U25" s="149"/>
      <c r="V25" s="78"/>
    </row>
    <row r="26" spans="1:20" ht="23.25">
      <c r="A26" s="119" t="s">
        <v>295</v>
      </c>
      <c r="B26" s="147"/>
      <c r="C26" s="149"/>
      <c r="D26" s="149"/>
      <c r="E26" s="149"/>
      <c r="F26" s="149"/>
      <c r="G26" s="149"/>
      <c r="H26" s="149"/>
      <c r="I26" s="152"/>
      <c r="K26" s="151"/>
      <c r="L26" s="813" t="s">
        <v>300</v>
      </c>
      <c r="M26" s="813"/>
      <c r="N26" s="813"/>
      <c r="O26" s="813"/>
      <c r="P26" s="813"/>
      <c r="Q26" s="813"/>
      <c r="R26" s="153">
        <v>1.5</v>
      </c>
      <c r="S26" s="149"/>
      <c r="T26" s="152"/>
    </row>
    <row r="27" spans="1:20" ht="20.25">
      <c r="A27" s="151"/>
      <c r="B27" s="79"/>
      <c r="C27" s="149"/>
      <c r="D27" s="149"/>
      <c r="E27" s="149"/>
      <c r="F27" s="149"/>
      <c r="G27" s="149"/>
      <c r="H27" s="340" t="s">
        <v>1</v>
      </c>
      <c r="I27" s="152"/>
      <c r="K27" s="151"/>
      <c r="L27" s="824"/>
      <c r="M27" s="824"/>
      <c r="N27" s="824"/>
      <c r="O27" s="824"/>
      <c r="P27" s="824"/>
      <c r="Q27" s="824"/>
      <c r="R27" s="154"/>
      <c r="S27" s="149"/>
      <c r="T27" s="152"/>
    </row>
    <row r="28" spans="1:20" ht="20.25">
      <c r="A28" s="151"/>
      <c r="B28" s="821" t="s">
        <v>279</v>
      </c>
      <c r="C28" s="822"/>
      <c r="D28" s="822"/>
      <c r="E28" s="822"/>
      <c r="F28" s="822"/>
      <c r="G28" s="823"/>
      <c r="H28" s="153">
        <v>0.4</v>
      </c>
      <c r="I28" s="152"/>
      <c r="K28" s="151"/>
      <c r="L28" s="79"/>
      <c r="M28" s="149"/>
      <c r="N28" s="149"/>
      <c r="O28" s="78"/>
      <c r="P28" s="78"/>
      <c r="Q28" s="125" t="s">
        <v>326</v>
      </c>
      <c r="R28" s="126">
        <f>SUM(R25:R27)</f>
        <v>2.5</v>
      </c>
      <c r="S28" s="123" t="s">
        <v>1</v>
      </c>
      <c r="T28" s="152"/>
    </row>
    <row r="29" spans="1:20" ht="20.25">
      <c r="A29" s="151"/>
      <c r="B29" s="821" t="s">
        <v>63</v>
      </c>
      <c r="C29" s="822"/>
      <c r="D29" s="822"/>
      <c r="E29" s="822"/>
      <c r="F29" s="822"/>
      <c r="G29" s="823"/>
      <c r="H29" s="153">
        <v>1.5</v>
      </c>
      <c r="I29" s="152"/>
      <c r="K29" s="156"/>
      <c r="L29" s="235"/>
      <c r="M29" s="235"/>
      <c r="N29" s="235"/>
      <c r="O29" s="235"/>
      <c r="P29" s="235"/>
      <c r="Q29" s="555"/>
      <c r="R29" s="235"/>
      <c r="S29" s="127"/>
      <c r="T29" s="158"/>
    </row>
    <row r="30" spans="1:20" ht="18">
      <c r="A30" s="151"/>
      <c r="B30" s="821" t="s">
        <v>281</v>
      </c>
      <c r="C30" s="822"/>
      <c r="D30" s="822"/>
      <c r="E30" s="822"/>
      <c r="F30" s="822"/>
      <c r="G30" s="823"/>
      <c r="H30" s="153">
        <v>2</v>
      </c>
      <c r="I30" s="152"/>
      <c r="K30" s="159"/>
      <c r="L30" s="160"/>
      <c r="M30" s="160"/>
      <c r="N30" s="160"/>
      <c r="O30" s="160"/>
      <c r="P30" s="160"/>
      <c r="Q30" s="160"/>
      <c r="R30" s="160"/>
      <c r="S30" s="160"/>
      <c r="T30" s="146"/>
    </row>
    <row r="31" spans="1:20" ht="23.25">
      <c r="A31" s="151"/>
      <c r="B31" s="821" t="s">
        <v>282</v>
      </c>
      <c r="C31" s="822"/>
      <c r="D31" s="822"/>
      <c r="E31" s="822"/>
      <c r="F31" s="822"/>
      <c r="G31" s="823"/>
      <c r="H31" s="153">
        <v>0.8</v>
      </c>
      <c r="I31" s="152"/>
      <c r="K31" s="151"/>
      <c r="L31" s="101" t="s">
        <v>315</v>
      </c>
      <c r="M31" s="149"/>
      <c r="N31" s="149"/>
      <c r="O31" s="149"/>
      <c r="P31" s="149"/>
      <c r="Q31" s="149"/>
      <c r="R31" s="149"/>
      <c r="S31" s="149"/>
      <c r="T31" s="152"/>
    </row>
    <row r="32" spans="1:20" ht="23.25">
      <c r="A32" s="151"/>
      <c r="B32" s="815"/>
      <c r="C32" s="816"/>
      <c r="D32" s="816"/>
      <c r="E32" s="816"/>
      <c r="F32" s="816"/>
      <c r="G32" s="817"/>
      <c r="H32" s="153"/>
      <c r="I32" s="152"/>
      <c r="K32" s="151"/>
      <c r="L32" s="295" t="s">
        <v>316</v>
      </c>
      <c r="M32" s="149"/>
      <c r="N32" s="149"/>
      <c r="O32" s="149"/>
      <c r="P32" s="149"/>
      <c r="Q32" s="149"/>
      <c r="R32" s="149"/>
      <c r="S32" s="340" t="s">
        <v>1</v>
      </c>
      <c r="T32" s="152"/>
    </row>
    <row r="33" spans="1:20" ht="18">
      <c r="A33" s="151"/>
      <c r="B33" s="815"/>
      <c r="C33" s="816"/>
      <c r="D33" s="816"/>
      <c r="E33" s="816"/>
      <c r="F33" s="816"/>
      <c r="G33" s="817"/>
      <c r="H33" s="154"/>
      <c r="I33" s="152"/>
      <c r="K33" s="151"/>
      <c r="L33" s="821" t="s">
        <v>313</v>
      </c>
      <c r="M33" s="822"/>
      <c r="N33" s="822"/>
      <c r="O33" s="822"/>
      <c r="P33" s="822"/>
      <c r="Q33" s="822"/>
      <c r="R33" s="823"/>
      <c r="S33" s="153">
        <v>1</v>
      </c>
      <c r="T33" s="152"/>
    </row>
    <row r="34" spans="1:20" ht="20.25">
      <c r="A34" s="151"/>
      <c r="B34" s="149"/>
      <c r="C34" s="149"/>
      <c r="D34" s="147"/>
      <c r="E34" s="149"/>
      <c r="F34" s="149"/>
      <c r="G34" s="125" t="s">
        <v>283</v>
      </c>
      <c r="H34" s="126">
        <f>SUM(H28:H33)</f>
        <v>4.7</v>
      </c>
      <c r="I34" s="152"/>
      <c r="K34" s="151"/>
      <c r="L34" s="821" t="s">
        <v>288</v>
      </c>
      <c r="M34" s="822"/>
      <c r="N34" s="822"/>
      <c r="O34" s="822"/>
      <c r="P34" s="822"/>
      <c r="Q34" s="822"/>
      <c r="R34" s="823"/>
      <c r="S34" s="153">
        <v>2</v>
      </c>
      <c r="T34" s="152"/>
    </row>
    <row r="35" spans="1:20" ht="18">
      <c r="A35" s="156"/>
      <c r="B35" s="157"/>
      <c r="C35" s="157"/>
      <c r="D35" s="157"/>
      <c r="E35" s="157"/>
      <c r="F35" s="157"/>
      <c r="G35" s="157"/>
      <c r="H35" s="157"/>
      <c r="I35" s="158"/>
      <c r="K35" s="151"/>
      <c r="L35" s="821" t="s">
        <v>402</v>
      </c>
      <c r="M35" s="822"/>
      <c r="N35" s="822"/>
      <c r="O35" s="822"/>
      <c r="P35" s="822"/>
      <c r="Q35" s="822"/>
      <c r="R35" s="823"/>
      <c r="S35" s="153">
        <v>2</v>
      </c>
      <c r="T35" s="152"/>
    </row>
    <row r="36" spans="1:20" ht="18">
      <c r="A36" s="149"/>
      <c r="B36" s="149"/>
      <c r="C36" s="149"/>
      <c r="D36" s="149"/>
      <c r="E36" s="149"/>
      <c r="F36" s="149"/>
      <c r="G36" s="149"/>
      <c r="H36" s="149"/>
      <c r="I36" s="147"/>
      <c r="K36" s="151"/>
      <c r="L36" s="821" t="s">
        <v>314</v>
      </c>
      <c r="M36" s="822"/>
      <c r="N36" s="822"/>
      <c r="O36" s="822"/>
      <c r="P36" s="822"/>
      <c r="Q36" s="822"/>
      <c r="R36" s="823"/>
      <c r="S36" s="153">
        <v>1</v>
      </c>
      <c r="T36" s="152"/>
    </row>
    <row r="37" spans="10:20" ht="18">
      <c r="J37" s="78"/>
      <c r="K37" s="151"/>
      <c r="L37" s="821" t="s">
        <v>289</v>
      </c>
      <c r="M37" s="822"/>
      <c r="N37" s="822"/>
      <c r="O37" s="822"/>
      <c r="P37" s="822"/>
      <c r="Q37" s="822"/>
      <c r="R37" s="823"/>
      <c r="S37" s="153">
        <v>1</v>
      </c>
      <c r="T37" s="152"/>
    </row>
    <row r="38" spans="10:20" ht="18">
      <c r="J38" s="78"/>
      <c r="K38" s="151"/>
      <c r="L38" s="821" t="s">
        <v>302</v>
      </c>
      <c r="M38" s="822"/>
      <c r="N38" s="822"/>
      <c r="O38" s="822"/>
      <c r="P38" s="822"/>
      <c r="Q38" s="822"/>
      <c r="R38" s="823"/>
      <c r="S38" s="153">
        <v>2</v>
      </c>
      <c r="T38" s="152"/>
    </row>
    <row r="39" spans="10:20" ht="18">
      <c r="J39" s="78"/>
      <c r="K39" s="151"/>
      <c r="L39" s="815"/>
      <c r="M39" s="816"/>
      <c r="N39" s="816"/>
      <c r="O39" s="816"/>
      <c r="P39" s="816"/>
      <c r="Q39" s="816"/>
      <c r="R39" s="817"/>
      <c r="S39" s="153"/>
      <c r="T39" s="152"/>
    </row>
    <row r="40" spans="10:20" ht="18">
      <c r="J40" s="78"/>
      <c r="K40" s="151"/>
      <c r="L40" s="815"/>
      <c r="M40" s="816"/>
      <c r="N40" s="816"/>
      <c r="O40" s="816"/>
      <c r="P40" s="816"/>
      <c r="Q40" s="816"/>
      <c r="R40" s="817"/>
      <c r="S40" s="154"/>
      <c r="T40" s="152"/>
    </row>
    <row r="41" spans="10:20" ht="20.25">
      <c r="J41" s="78"/>
      <c r="K41" s="151"/>
      <c r="L41" s="149"/>
      <c r="M41" s="149"/>
      <c r="N41" s="149"/>
      <c r="O41" s="149"/>
      <c r="P41" s="149"/>
      <c r="Q41" s="149"/>
      <c r="R41" s="125" t="s">
        <v>290</v>
      </c>
      <c r="S41" s="126">
        <f>SUM(S33:S40)</f>
        <v>9</v>
      </c>
      <c r="T41" s="554" t="s">
        <v>1</v>
      </c>
    </row>
    <row r="42" spans="10:20" ht="11.25" customHeight="1">
      <c r="J42" s="78"/>
      <c r="K42" s="156"/>
      <c r="L42" s="157"/>
      <c r="M42" s="157"/>
      <c r="N42" s="157"/>
      <c r="O42" s="157"/>
      <c r="P42" s="157"/>
      <c r="Q42" s="157"/>
      <c r="R42" s="127"/>
      <c r="S42" s="127"/>
      <c r="T42" s="161"/>
    </row>
    <row r="43" spans="1:35" ht="12.75" customHeight="1" thickBot="1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23" ht="12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</row>
    <row r="45" spans="1:23" ht="26.25">
      <c r="A45" s="297" t="s">
        <v>403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</row>
    <row r="46" spans="1:23" ht="18">
      <c r="A46" s="78"/>
      <c r="B46" s="78"/>
      <c r="C46" s="78"/>
      <c r="D46" s="78"/>
      <c r="E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</row>
    <row r="47" spans="1:23" ht="20.25">
      <c r="A47" s="164"/>
      <c r="B47" s="78"/>
      <c r="C47" s="864" t="s">
        <v>291</v>
      </c>
      <c r="D47" s="865"/>
      <c r="E47" s="866"/>
      <c r="F47" s="132">
        <f>+F19</f>
        <v>1.2</v>
      </c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</row>
    <row r="48" spans="1:23" ht="20.25">
      <c r="A48" s="78"/>
      <c r="B48" s="78"/>
      <c r="C48" s="864" t="s">
        <v>325</v>
      </c>
      <c r="D48" s="865"/>
      <c r="E48" s="866"/>
      <c r="F48" s="124">
        <v>6</v>
      </c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</row>
    <row r="49" spans="1:7" ht="18.75" thickBot="1">
      <c r="A49" s="78"/>
      <c r="B49" s="78"/>
      <c r="C49" s="78"/>
      <c r="D49" s="78"/>
      <c r="E49" s="78"/>
      <c r="F49" s="78"/>
      <c r="G49" s="78"/>
    </row>
    <row r="50" spans="1:23" ht="20.25">
      <c r="A50" s="122"/>
      <c r="B50" s="122"/>
      <c r="C50" s="133" t="s">
        <v>105</v>
      </c>
      <c r="D50" s="122"/>
      <c r="E50" s="133" t="s">
        <v>322</v>
      </c>
      <c r="F50" s="133" t="s">
        <v>65</v>
      </c>
      <c r="G50" s="133" t="s">
        <v>10</v>
      </c>
      <c r="H50" s="133" t="s">
        <v>65</v>
      </c>
      <c r="I50" s="835" t="s">
        <v>307</v>
      </c>
      <c r="J50" s="836"/>
      <c r="K50" s="837"/>
      <c r="L50" s="835" t="s">
        <v>308</v>
      </c>
      <c r="M50" s="836"/>
      <c r="N50" s="837"/>
      <c r="Q50" s="78"/>
      <c r="R50" s="78"/>
      <c r="S50" s="78"/>
      <c r="T50" s="78"/>
      <c r="U50" s="78"/>
      <c r="V50" s="78"/>
      <c r="W50" s="78"/>
    </row>
    <row r="51" spans="1:22" ht="21" thickBot="1">
      <c r="A51" s="134" t="s">
        <v>111</v>
      </c>
      <c r="B51" s="556" t="s">
        <v>144</v>
      </c>
      <c r="C51" s="136" t="s">
        <v>106</v>
      </c>
      <c r="D51" s="556" t="s">
        <v>306</v>
      </c>
      <c r="E51" s="136" t="s">
        <v>242</v>
      </c>
      <c r="F51" s="136" t="s">
        <v>239</v>
      </c>
      <c r="G51" s="136" t="s">
        <v>106</v>
      </c>
      <c r="H51" s="136" t="s">
        <v>107</v>
      </c>
      <c r="I51" s="290" t="s">
        <v>63</v>
      </c>
      <c r="J51" s="291" t="s">
        <v>105</v>
      </c>
      <c r="K51" s="292" t="s">
        <v>10</v>
      </c>
      <c r="L51" s="290" t="s">
        <v>309</v>
      </c>
      <c r="M51" s="121"/>
      <c r="N51" s="137"/>
      <c r="Q51" s="78"/>
      <c r="R51" s="78"/>
      <c r="S51" s="78"/>
      <c r="T51" s="78"/>
      <c r="U51" s="78"/>
      <c r="V51" s="78"/>
    </row>
    <row r="52" spans="1:22" ht="24" customHeight="1" thickTop="1">
      <c r="A52" s="168">
        <v>16</v>
      </c>
      <c r="B52" s="183">
        <f>+G8</f>
        <v>54</v>
      </c>
      <c r="C52" s="168">
        <v>1</v>
      </c>
      <c r="D52" s="168">
        <f>+A52*F48</f>
        <v>96</v>
      </c>
      <c r="E52" s="168">
        <v>3</v>
      </c>
      <c r="F52" s="168">
        <v>5</v>
      </c>
      <c r="G52" s="168">
        <v>0</v>
      </c>
      <c r="H52" s="169">
        <f>IF(A52=0,0,(F48+0.2)/$F$47*A52)</f>
        <v>82.66666666666667</v>
      </c>
      <c r="I52" s="288">
        <f>$G$17*H52</f>
        <v>405.06666666666666</v>
      </c>
      <c r="J52" s="169">
        <f>+C52*$Q$12*A52</f>
        <v>14.4</v>
      </c>
      <c r="K52" s="289">
        <f>+G52*$H$34</f>
        <v>0</v>
      </c>
      <c r="L52" s="288">
        <f>IF(A52&gt;0,$R$20*E52,0)</f>
        <v>4.5</v>
      </c>
      <c r="M52" s="149"/>
      <c r="N52" s="166"/>
      <c r="O52" s="843" t="s">
        <v>404</v>
      </c>
      <c r="P52" s="844"/>
      <c r="Q52" s="844"/>
      <c r="R52" s="845"/>
      <c r="S52" s="78"/>
      <c r="T52" s="78"/>
      <c r="U52" s="78"/>
      <c r="V52" s="78"/>
    </row>
    <row r="53" spans="1:22" ht="24" customHeight="1" thickBot="1">
      <c r="A53" s="154">
        <v>4</v>
      </c>
      <c r="B53" s="165">
        <f>+H8</f>
        <v>102</v>
      </c>
      <c r="C53" s="154">
        <v>1</v>
      </c>
      <c r="D53" s="168">
        <f>+A53*F48</f>
        <v>24</v>
      </c>
      <c r="E53" s="154">
        <v>2</v>
      </c>
      <c r="F53" s="154">
        <v>2</v>
      </c>
      <c r="G53" s="154">
        <v>0</v>
      </c>
      <c r="H53" s="169">
        <f>IF(A53=0,0,(F48+0.2)/$F$47*A53)</f>
        <v>20.666666666666668</v>
      </c>
      <c r="I53" s="170">
        <f>$H$17*H53</f>
        <v>142.6</v>
      </c>
      <c r="J53" s="171">
        <f>+C53*$Q$12*A53</f>
        <v>3.6</v>
      </c>
      <c r="K53" s="172">
        <f>+G53*$H$34</f>
        <v>0</v>
      </c>
      <c r="L53" s="170">
        <f>IF(A53&gt;0,$R$20*E53,0)</f>
        <v>3</v>
      </c>
      <c r="M53" s="302" t="s">
        <v>323</v>
      </c>
      <c r="N53" s="292" t="s">
        <v>324</v>
      </c>
      <c r="O53" s="846"/>
      <c r="P53" s="847"/>
      <c r="Q53" s="847"/>
      <c r="R53" s="848"/>
      <c r="S53"/>
      <c r="T53" s="78"/>
      <c r="U53" s="78"/>
      <c r="V53" s="78"/>
    </row>
    <row r="54" spans="3:22" ht="21.75" thickBot="1" thickTop="1">
      <c r="C54" s="149"/>
      <c r="D54" s="524">
        <f>SUM(D52:D53)</f>
        <v>120</v>
      </c>
      <c r="E54" s="163">
        <f>SUM(E52:E53)</f>
        <v>5</v>
      </c>
      <c r="F54" s="163">
        <f>SUM(F52:F53)</f>
        <v>7</v>
      </c>
      <c r="I54" s="138">
        <f>SUM(I52:I53)</f>
        <v>547.6666666666666</v>
      </c>
      <c r="J54" s="139">
        <f>SUM(J52:J53)</f>
        <v>18</v>
      </c>
      <c r="K54" s="140">
        <f>SUM(K52:K53)</f>
        <v>0</v>
      </c>
      <c r="L54" s="141">
        <f>SUM(L52:L53)</f>
        <v>7.5</v>
      </c>
      <c r="M54" s="303">
        <f>+E54*R28</f>
        <v>12.5</v>
      </c>
      <c r="N54" s="301">
        <f>+S41*(F54+E57)</f>
        <v>90</v>
      </c>
      <c r="O54" s="860">
        <f>SUM(I54:N54)</f>
        <v>675.6666666666666</v>
      </c>
      <c r="P54" s="861"/>
      <c r="Q54" s="839" t="s">
        <v>23</v>
      </c>
      <c r="R54" s="840"/>
      <c r="V54" s="78"/>
    </row>
    <row r="55" spans="1:22" ht="21" thickBot="1">
      <c r="A55" s="78"/>
      <c r="E55" s="78"/>
      <c r="F55" s="78"/>
      <c r="H55" s="78"/>
      <c r="I55" s="122"/>
      <c r="J55" s="122"/>
      <c r="K55" s="122"/>
      <c r="L55" s="122"/>
      <c r="M55" s="122"/>
      <c r="N55" s="122"/>
      <c r="O55" s="862">
        <f>+O54/60</f>
        <v>11.261111111111111</v>
      </c>
      <c r="P55" s="863"/>
      <c r="Q55" s="841" t="s">
        <v>31</v>
      </c>
      <c r="R55" s="842"/>
      <c r="T55" s="78"/>
      <c r="U55" s="78"/>
      <c r="V55" s="78"/>
    </row>
    <row r="56" spans="1:22" ht="20.25">
      <c r="A56" s="78"/>
      <c r="B56" s="78"/>
      <c r="C56" s="78"/>
      <c r="D56" s="78"/>
      <c r="E56" s="856" t="s">
        <v>327</v>
      </c>
      <c r="F56" s="857"/>
      <c r="G56" s="857"/>
      <c r="H56" s="857"/>
      <c r="I56" s="857"/>
      <c r="J56" s="857"/>
      <c r="K56" s="858"/>
      <c r="L56" s="78"/>
      <c r="M56" s="78"/>
      <c r="N56" s="78"/>
      <c r="T56" s="78"/>
      <c r="U56" s="78"/>
      <c r="V56" s="78"/>
    </row>
    <row r="57" spans="1:22" ht="20.25">
      <c r="A57" s="78"/>
      <c r="B57" s="78"/>
      <c r="C57" s="78"/>
      <c r="D57" s="78"/>
      <c r="E57" s="859">
        <v>3</v>
      </c>
      <c r="F57" s="859"/>
      <c r="G57" s="859"/>
      <c r="H57" s="859"/>
      <c r="I57" s="859"/>
      <c r="J57" s="859"/>
      <c r="K57" s="859"/>
      <c r="L57" s="78"/>
      <c r="M57" s="78"/>
      <c r="N57" s="78"/>
      <c r="T57" s="78"/>
      <c r="U57" s="78"/>
      <c r="V57" s="78"/>
    </row>
    <row r="58" spans="1:22" ht="18">
      <c r="A58" s="78"/>
      <c r="B58" s="78"/>
      <c r="C58" s="78"/>
      <c r="D58" s="78"/>
      <c r="E58" s="78"/>
      <c r="F58" s="78"/>
      <c r="H58" s="78"/>
      <c r="I58" s="78"/>
      <c r="J58" s="78"/>
      <c r="K58" s="78"/>
      <c r="L58" s="78"/>
      <c r="M58" s="78"/>
      <c r="N58" s="78"/>
      <c r="T58" s="78"/>
      <c r="U58" s="78"/>
      <c r="V58" s="78"/>
    </row>
    <row r="59" spans="1:22" ht="18.75" thickBot="1">
      <c r="A59" s="78"/>
      <c r="B59" s="78"/>
      <c r="C59" s="78"/>
      <c r="D59" s="78"/>
      <c r="E59" s="78"/>
      <c r="F59" s="78"/>
      <c r="H59" s="78"/>
      <c r="S59" s="78"/>
      <c r="T59" s="78"/>
      <c r="U59" s="78"/>
      <c r="V59" s="78"/>
    </row>
    <row r="60" spans="1:22" ht="24.75" customHeight="1" thickBot="1">
      <c r="A60" s="78"/>
      <c r="B60" s="78"/>
      <c r="C60" s="78"/>
      <c r="D60" s="78"/>
      <c r="E60" s="78"/>
      <c r="F60" s="78"/>
      <c r="H60" s="854" t="s">
        <v>108</v>
      </c>
      <c r="I60" s="855"/>
      <c r="J60" s="855"/>
      <c r="K60" s="855"/>
      <c r="L60" s="577">
        <f>ROUNDUP(D54/O54*60,1)</f>
        <v>10.7</v>
      </c>
      <c r="M60" s="178" t="s">
        <v>262</v>
      </c>
      <c r="O60" s="176"/>
      <c r="P60" s="177">
        <f>+L60*3.28</f>
        <v>35.096</v>
      </c>
      <c r="Q60" s="237" t="s">
        <v>312</v>
      </c>
      <c r="R60" s="176"/>
      <c r="V60" s="78"/>
    </row>
    <row r="61" spans="1:29" ht="18">
      <c r="A61" s="78"/>
      <c r="B61" s="78"/>
      <c r="C61" s="78"/>
      <c r="D61" s="78"/>
      <c r="E61" s="78"/>
      <c r="F61" s="78"/>
      <c r="G61" s="78"/>
      <c r="H61" s="78"/>
      <c r="AC61" s="78"/>
    </row>
    <row r="62" spans="1:29" ht="18">
      <c r="A62" s="78"/>
      <c r="B62" s="78"/>
      <c r="C62" s="78"/>
      <c r="D62" s="78"/>
      <c r="E62" s="78"/>
      <c r="F62" s="78"/>
      <c r="G62" s="78"/>
      <c r="H62" s="78"/>
      <c r="AC62" s="78"/>
    </row>
    <row r="63" spans="1:29" ht="18">
      <c r="A63" s="78"/>
      <c r="B63" s="78"/>
      <c r="C63" s="78"/>
      <c r="D63" s="78"/>
      <c r="E63" s="78"/>
      <c r="F63" s="78"/>
      <c r="G63" s="78"/>
      <c r="H63" s="78"/>
      <c r="AC63" s="78"/>
    </row>
    <row r="64" spans="1:29" ht="18">
      <c r="A64" s="78"/>
      <c r="B64" s="78"/>
      <c r="C64" s="78"/>
      <c r="D64" s="78"/>
      <c r="E64" s="78"/>
      <c r="F64" s="78"/>
      <c r="G64" s="78"/>
      <c r="H64" s="78"/>
      <c r="AC64" s="78"/>
    </row>
    <row r="65" spans="1:29" ht="18">
      <c r="A65" s="78"/>
      <c r="B65" s="78"/>
      <c r="C65" s="78"/>
      <c r="D65" s="78"/>
      <c r="E65" s="78"/>
      <c r="F65" s="78"/>
      <c r="G65" s="78"/>
      <c r="H65" s="78"/>
      <c r="AC65" s="78"/>
    </row>
    <row r="66" spans="1:29" ht="18">
      <c r="A66" s="78"/>
      <c r="B66" s="78"/>
      <c r="C66" s="78"/>
      <c r="D66" s="78"/>
      <c r="E66" s="78"/>
      <c r="F66" s="78"/>
      <c r="G66" s="78"/>
      <c r="H66" s="78"/>
      <c r="AC66" s="78"/>
    </row>
    <row r="67" spans="1:29" ht="18">
      <c r="A67" s="78"/>
      <c r="B67" s="78"/>
      <c r="C67" s="78"/>
      <c r="D67" s="78"/>
      <c r="E67" s="78"/>
      <c r="F67" s="78"/>
      <c r="G67" s="78"/>
      <c r="H67" s="78"/>
      <c r="AC67" s="78"/>
    </row>
    <row r="68" spans="1:29" ht="18">
      <c r="A68" s="78"/>
      <c r="B68" s="78"/>
      <c r="C68" s="78"/>
      <c r="D68" s="78"/>
      <c r="E68" s="78"/>
      <c r="F68" s="78"/>
      <c r="G68" s="78"/>
      <c r="H68" s="78"/>
      <c r="AC68" s="78"/>
    </row>
    <row r="69" spans="1:29" ht="18">
      <c r="A69" s="78"/>
      <c r="B69" s="78"/>
      <c r="C69" s="78"/>
      <c r="D69" s="78"/>
      <c r="E69" s="78"/>
      <c r="F69" s="78"/>
      <c r="G69" s="78"/>
      <c r="H69" s="78"/>
      <c r="AC69" s="78"/>
    </row>
  </sheetData>
  <mergeCells count="46">
    <mergeCell ref="C47:E47"/>
    <mergeCell ref="C48:E48"/>
    <mergeCell ref="L50:N50"/>
    <mergeCell ref="I50:K50"/>
    <mergeCell ref="H60:K60"/>
    <mergeCell ref="E56:K56"/>
    <mergeCell ref="E57:K57"/>
    <mergeCell ref="O54:P54"/>
    <mergeCell ref="O55:P55"/>
    <mergeCell ref="B14:F14"/>
    <mergeCell ref="L26:Q26"/>
    <mergeCell ref="L17:Q17"/>
    <mergeCell ref="B9:F9"/>
    <mergeCell ref="M11:P11"/>
    <mergeCell ref="B11:F11"/>
    <mergeCell ref="B12:F12"/>
    <mergeCell ref="B10:F10"/>
    <mergeCell ref="B13:F13"/>
    <mergeCell ref="G6:H6"/>
    <mergeCell ref="M8:P8"/>
    <mergeCell ref="M9:P9"/>
    <mergeCell ref="M10:P10"/>
    <mergeCell ref="L36:R36"/>
    <mergeCell ref="L19:Q19"/>
    <mergeCell ref="L25:Q25"/>
    <mergeCell ref="B15:F15"/>
    <mergeCell ref="B16:F16"/>
    <mergeCell ref="C19:E19"/>
    <mergeCell ref="L27:Q27"/>
    <mergeCell ref="L18:Q18"/>
    <mergeCell ref="L34:R34"/>
    <mergeCell ref="B29:G29"/>
    <mergeCell ref="B30:G30"/>
    <mergeCell ref="B31:G31"/>
    <mergeCell ref="B32:G32"/>
    <mergeCell ref="B33:G33"/>
    <mergeCell ref="Q54:R54"/>
    <mergeCell ref="Q55:R55"/>
    <mergeCell ref="B28:G28"/>
    <mergeCell ref="L33:R33"/>
    <mergeCell ref="O52:R53"/>
    <mergeCell ref="L35:R35"/>
    <mergeCell ref="L37:R37"/>
    <mergeCell ref="L39:R39"/>
    <mergeCell ref="L40:R40"/>
    <mergeCell ref="L38:R38"/>
  </mergeCells>
  <printOptions/>
  <pageMargins left="0.75" right="0.75" top="1" bottom="1" header="0.5" footer="0.5"/>
  <pageSetup cellComments="asDisplayed" horizontalDpi="600" verticalDpi="600" orientation="landscape" scale="38" r:id="rId3"/>
  <headerFooter alignWithMargins="0">
    <oddFooter>&amp;LFile:  &amp;F
Sheet:  &amp;A
Page &amp;P of &amp;N&amp;CExperimental Mine
Val-d'Or&amp;R&amp;D
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Z97"/>
  <sheetViews>
    <sheetView zoomScale="50" zoomScaleNormal="50" workbookViewId="0" topLeftCell="D1">
      <selection activeCell="O3" sqref="O3"/>
    </sheetView>
  </sheetViews>
  <sheetFormatPr defaultColWidth="9.140625" defaultRowHeight="12.75"/>
  <cols>
    <col min="1" max="1" width="16.57421875" style="143" customWidth="1"/>
    <col min="2" max="2" width="18.28125" style="143" customWidth="1"/>
    <col min="3" max="3" width="22.421875" style="143" customWidth="1"/>
    <col min="4" max="4" width="11.57421875" style="143" customWidth="1"/>
    <col min="5" max="5" width="14.8515625" style="143" customWidth="1"/>
    <col min="6" max="6" width="16.8515625" style="143" customWidth="1"/>
    <col min="7" max="7" width="11.57421875" style="143" customWidth="1"/>
    <col min="8" max="8" width="13.140625" style="143" customWidth="1"/>
    <col min="9" max="9" width="19.140625" style="143" customWidth="1"/>
    <col min="10" max="10" width="13.7109375" style="143" customWidth="1"/>
    <col min="11" max="11" width="16.00390625" style="143" customWidth="1"/>
    <col min="12" max="12" width="13.7109375" style="143" customWidth="1"/>
    <col min="13" max="13" width="14.421875" style="143" customWidth="1"/>
    <col min="14" max="14" width="14.57421875" style="143" customWidth="1"/>
    <col min="15" max="15" width="10.00390625" style="143" customWidth="1"/>
    <col min="16" max="16" width="9.8515625" style="143" customWidth="1"/>
    <col min="17" max="17" width="16.00390625" style="143" customWidth="1"/>
    <col min="18" max="18" width="9.140625" style="143" customWidth="1"/>
    <col min="19" max="19" width="5.28125" style="143" customWidth="1"/>
    <col min="20" max="20" width="6.00390625" style="143" customWidth="1"/>
    <col min="21" max="16384" width="9.140625" style="143" customWidth="1"/>
  </cols>
  <sheetData>
    <row r="1" ht="18"/>
    <row r="2" ht="31.5">
      <c r="A2" s="293" t="s">
        <v>157</v>
      </c>
    </row>
    <row r="3" spans="1:18" ht="31.5">
      <c r="A3" s="294" t="s">
        <v>408</v>
      </c>
      <c r="O3" s="418" t="s">
        <v>416</v>
      </c>
      <c r="R3" s="419"/>
    </row>
    <row r="4" ht="22.5">
      <c r="A4" s="142"/>
    </row>
    <row r="5" spans="1:19" ht="18">
      <c r="A5" s="144"/>
      <c r="B5" s="145"/>
      <c r="C5" s="145"/>
      <c r="D5" s="145"/>
      <c r="E5" s="145"/>
      <c r="F5" s="145"/>
      <c r="G5" s="145"/>
      <c r="H5" s="146"/>
      <c r="J5" s="159"/>
      <c r="K5" s="160"/>
      <c r="L5" s="160"/>
      <c r="M5" s="160"/>
      <c r="N5" s="160"/>
      <c r="O5" s="160"/>
      <c r="P5" s="160"/>
      <c r="Q5" s="160"/>
      <c r="R5" s="160"/>
      <c r="S5" s="146"/>
    </row>
    <row r="6" spans="1:21" ht="23.25">
      <c r="A6" s="119" t="s">
        <v>331</v>
      </c>
      <c r="B6" s="149"/>
      <c r="C6" s="149"/>
      <c r="D6" s="149"/>
      <c r="E6" s="149"/>
      <c r="F6" s="149"/>
      <c r="G6" s="149"/>
      <c r="H6" s="150"/>
      <c r="J6" s="151"/>
      <c r="K6" s="118" t="s">
        <v>296</v>
      </c>
      <c r="L6" s="149"/>
      <c r="M6" s="149"/>
      <c r="N6" s="149"/>
      <c r="O6" s="149"/>
      <c r="P6" s="149"/>
      <c r="Q6" s="149"/>
      <c r="S6" s="152"/>
      <c r="U6" s="78"/>
    </row>
    <row r="7" spans="1:21" ht="20.25">
      <c r="A7" s="151"/>
      <c r="B7" s="149"/>
      <c r="C7" s="149"/>
      <c r="D7" s="149"/>
      <c r="E7" s="149"/>
      <c r="F7" s="149"/>
      <c r="G7" s="340" t="s">
        <v>1</v>
      </c>
      <c r="H7" s="150"/>
      <c r="J7" s="151"/>
      <c r="K7" s="149"/>
      <c r="L7" s="149"/>
      <c r="M7" s="149"/>
      <c r="N7" s="149"/>
      <c r="O7" s="149"/>
      <c r="P7" s="340" t="s">
        <v>1</v>
      </c>
      <c r="Q7" s="149"/>
      <c r="S7" s="152"/>
      <c r="U7" s="78"/>
    </row>
    <row r="8" spans="1:21" ht="18">
      <c r="A8" s="151"/>
      <c r="B8" s="871" t="s">
        <v>293</v>
      </c>
      <c r="C8" s="872"/>
      <c r="D8" s="872"/>
      <c r="E8" s="872"/>
      <c r="F8" s="873"/>
      <c r="G8" s="153">
        <v>0.4</v>
      </c>
      <c r="H8" s="150"/>
      <c r="J8" s="151"/>
      <c r="K8" s="149"/>
      <c r="L8" s="821" t="s">
        <v>317</v>
      </c>
      <c r="M8" s="822"/>
      <c r="N8" s="822"/>
      <c r="O8" s="823"/>
      <c r="P8" s="153"/>
      <c r="Q8" s="149"/>
      <c r="S8" s="152"/>
      <c r="U8" s="78"/>
    </row>
    <row r="9" spans="1:19" ht="18">
      <c r="A9" s="151"/>
      <c r="B9" s="814" t="s">
        <v>272</v>
      </c>
      <c r="C9" s="814"/>
      <c r="D9" s="814"/>
      <c r="E9" s="814"/>
      <c r="F9" s="814"/>
      <c r="G9" s="153">
        <v>1.5</v>
      </c>
      <c r="H9" s="150"/>
      <c r="J9" s="151"/>
      <c r="K9" s="149"/>
      <c r="L9" s="821" t="s">
        <v>284</v>
      </c>
      <c r="M9" s="822"/>
      <c r="N9" s="822"/>
      <c r="O9" s="823"/>
      <c r="P9" s="153">
        <v>0.4</v>
      </c>
      <c r="Q9" s="149"/>
      <c r="S9" s="152"/>
    </row>
    <row r="10" spans="1:19" ht="18">
      <c r="A10" s="151"/>
      <c r="B10" s="813" t="s">
        <v>273</v>
      </c>
      <c r="C10" s="813"/>
      <c r="D10" s="813"/>
      <c r="E10" s="813"/>
      <c r="F10" s="813"/>
      <c r="G10" s="153">
        <v>0.4</v>
      </c>
      <c r="H10" s="150"/>
      <c r="J10" s="151"/>
      <c r="K10" s="149"/>
      <c r="L10" s="815"/>
      <c r="M10" s="816"/>
      <c r="N10" s="816"/>
      <c r="O10" s="817"/>
      <c r="P10" s="153"/>
      <c r="Q10" s="149"/>
      <c r="S10" s="152"/>
    </row>
    <row r="11" spans="1:19" ht="18">
      <c r="A11" s="151"/>
      <c r="B11" s="813" t="s">
        <v>294</v>
      </c>
      <c r="C11" s="813"/>
      <c r="D11" s="813"/>
      <c r="E11" s="813"/>
      <c r="F11" s="813"/>
      <c r="G11" s="153">
        <v>0.5</v>
      </c>
      <c r="H11" s="150"/>
      <c r="J11" s="151"/>
      <c r="K11" s="149"/>
      <c r="L11" s="815"/>
      <c r="M11" s="816"/>
      <c r="N11" s="816"/>
      <c r="O11" s="817"/>
      <c r="P11" s="153"/>
      <c r="Q11" s="149"/>
      <c r="S11" s="152"/>
    </row>
    <row r="12" spans="1:19" ht="20.25">
      <c r="A12" s="151"/>
      <c r="B12" s="813" t="s">
        <v>274</v>
      </c>
      <c r="C12" s="813"/>
      <c r="D12" s="813"/>
      <c r="E12" s="813"/>
      <c r="F12" s="813"/>
      <c r="G12" s="153">
        <v>1.4</v>
      </c>
      <c r="H12" s="150"/>
      <c r="J12" s="151"/>
      <c r="K12" s="149"/>
      <c r="L12" s="149"/>
      <c r="M12" s="149"/>
      <c r="N12" s="149"/>
      <c r="O12" s="149"/>
      <c r="P12" s="126">
        <f>SUM(P8:P11)</f>
        <v>0.4</v>
      </c>
      <c r="Q12" s="123" t="s">
        <v>143</v>
      </c>
      <c r="S12" s="152"/>
    </row>
    <row r="13" spans="1:19" ht="20.25">
      <c r="A13" s="151"/>
      <c r="B13" s="813" t="s">
        <v>275</v>
      </c>
      <c r="C13" s="813"/>
      <c r="D13" s="813"/>
      <c r="E13" s="813"/>
      <c r="F13" s="813"/>
      <c r="G13" s="154">
        <v>0.7</v>
      </c>
      <c r="H13" s="150"/>
      <c r="J13" s="156"/>
      <c r="K13" s="157"/>
      <c r="L13" s="157"/>
      <c r="M13" s="157"/>
      <c r="N13" s="157"/>
      <c r="O13" s="157"/>
      <c r="P13" s="127"/>
      <c r="Q13" s="129" t="s">
        <v>102</v>
      </c>
      <c r="R13" s="157"/>
      <c r="S13" s="158"/>
    </row>
    <row r="14" spans="1:21" ht="18">
      <c r="A14" s="151"/>
      <c r="B14" s="815"/>
      <c r="C14" s="816"/>
      <c r="D14" s="816"/>
      <c r="E14" s="816"/>
      <c r="F14" s="817"/>
      <c r="G14" s="154"/>
      <c r="H14" s="150"/>
      <c r="J14" s="159"/>
      <c r="K14" s="160"/>
      <c r="L14" s="160"/>
      <c r="M14" s="160"/>
      <c r="N14" s="160"/>
      <c r="O14" s="160"/>
      <c r="P14" s="160"/>
      <c r="Q14" s="160"/>
      <c r="R14" s="160"/>
      <c r="S14" s="162"/>
      <c r="U14" s="78"/>
    </row>
    <row r="15" spans="1:21" ht="23.25">
      <c r="A15" s="151"/>
      <c r="B15" s="824"/>
      <c r="C15" s="824"/>
      <c r="D15" s="824"/>
      <c r="E15" s="824"/>
      <c r="F15" s="824"/>
      <c r="G15" s="154"/>
      <c r="H15" s="150"/>
      <c r="J15" s="120"/>
      <c r="K15" s="101" t="s">
        <v>103</v>
      </c>
      <c r="L15" s="149"/>
      <c r="M15" s="149"/>
      <c r="N15" s="149"/>
      <c r="O15" s="149"/>
      <c r="P15" s="149"/>
      <c r="Q15" s="149"/>
      <c r="S15" s="150"/>
      <c r="U15" s="78"/>
    </row>
    <row r="16" spans="1:21" ht="23.25">
      <c r="A16" s="151"/>
      <c r="B16" s="149"/>
      <c r="C16" s="149"/>
      <c r="D16" s="78"/>
      <c r="E16" s="149"/>
      <c r="F16" s="125" t="s">
        <v>104</v>
      </c>
      <c r="G16" s="155">
        <f>SUM(G8:G13)</f>
        <v>4.8999999999999995</v>
      </c>
      <c r="H16" s="554" t="s">
        <v>142</v>
      </c>
      <c r="J16" s="130"/>
      <c r="K16" s="296"/>
      <c r="L16" s="149"/>
      <c r="M16" s="149"/>
      <c r="N16" s="149"/>
      <c r="O16" s="149"/>
      <c r="P16" s="149"/>
      <c r="Q16" s="340" t="s">
        <v>1</v>
      </c>
      <c r="S16" s="150"/>
      <c r="U16" s="78"/>
    </row>
    <row r="17" spans="1:21" ht="18">
      <c r="A17" s="151"/>
      <c r="B17" s="149"/>
      <c r="C17" s="149"/>
      <c r="D17" s="149"/>
      <c r="E17" s="149"/>
      <c r="F17" s="149"/>
      <c r="G17" s="149"/>
      <c r="H17" s="150"/>
      <c r="J17" s="151"/>
      <c r="K17" s="813" t="s">
        <v>286</v>
      </c>
      <c r="L17" s="813"/>
      <c r="M17" s="813"/>
      <c r="N17" s="813"/>
      <c r="O17" s="813"/>
      <c r="P17" s="813"/>
      <c r="Q17" s="153">
        <v>0.7</v>
      </c>
      <c r="S17" s="150"/>
      <c r="U17" s="78"/>
    </row>
    <row r="18" spans="1:21" ht="20.25" customHeight="1">
      <c r="A18" s="151"/>
      <c r="G18" s="149"/>
      <c r="H18" s="150"/>
      <c r="J18" s="151"/>
      <c r="K18" s="813" t="s">
        <v>285</v>
      </c>
      <c r="L18" s="813"/>
      <c r="M18" s="813"/>
      <c r="N18" s="813"/>
      <c r="O18" s="813"/>
      <c r="P18" s="813"/>
      <c r="Q18" s="153">
        <v>0.5</v>
      </c>
      <c r="S18" s="150"/>
      <c r="U18" s="78"/>
    </row>
    <row r="19" spans="1:21" ht="20.25">
      <c r="A19" s="151"/>
      <c r="C19" s="79"/>
      <c r="E19" s="575" t="s">
        <v>276</v>
      </c>
      <c r="F19" s="128">
        <v>1.2</v>
      </c>
      <c r="G19" s="123"/>
      <c r="H19" s="150"/>
      <c r="J19" s="151"/>
      <c r="K19" s="824"/>
      <c r="L19" s="824"/>
      <c r="M19" s="824"/>
      <c r="N19" s="824"/>
      <c r="O19" s="824"/>
      <c r="P19" s="824"/>
      <c r="Q19" s="154"/>
      <c r="S19" s="150"/>
      <c r="U19" s="78"/>
    </row>
    <row r="20" spans="1:21" ht="20.25">
      <c r="A20" s="151"/>
      <c r="C20" s="79"/>
      <c r="E20" s="575" t="s">
        <v>277</v>
      </c>
      <c r="F20" s="126">
        <f>+G16/F19</f>
        <v>4.083333333333333</v>
      </c>
      <c r="G20" s="123" t="s">
        <v>278</v>
      </c>
      <c r="H20" s="150"/>
      <c r="J20" s="151"/>
      <c r="K20" s="79"/>
      <c r="L20" s="149"/>
      <c r="M20" s="149"/>
      <c r="N20" s="78"/>
      <c r="O20" s="78"/>
      <c r="P20" s="125" t="s">
        <v>297</v>
      </c>
      <c r="Q20" s="126">
        <f>SUM(Q17:Q19)</f>
        <v>1.2</v>
      </c>
      <c r="R20" s="21" t="s">
        <v>1</v>
      </c>
      <c r="S20" s="150"/>
      <c r="U20" s="78"/>
    </row>
    <row r="21" spans="1:21" ht="18">
      <c r="A21" s="151"/>
      <c r="B21" s="149"/>
      <c r="C21" s="149"/>
      <c r="D21" s="149"/>
      <c r="E21" s="149"/>
      <c r="F21" s="149"/>
      <c r="G21" s="149"/>
      <c r="H21" s="150"/>
      <c r="J21" s="156"/>
      <c r="K21" s="235"/>
      <c r="L21" s="235"/>
      <c r="M21" s="235"/>
      <c r="N21" s="235"/>
      <c r="O21" s="235"/>
      <c r="P21" s="235"/>
      <c r="Q21" s="235"/>
      <c r="R21" s="235"/>
      <c r="S21" s="161"/>
      <c r="U21" s="78"/>
    </row>
    <row r="22" spans="1:21" ht="20.25">
      <c r="A22" s="151"/>
      <c r="B22" s="123"/>
      <c r="C22" s="123"/>
      <c r="D22" s="149"/>
      <c r="E22" s="149"/>
      <c r="F22" s="149"/>
      <c r="G22" s="149"/>
      <c r="H22" s="150"/>
      <c r="J22" s="159"/>
      <c r="K22" s="160"/>
      <c r="L22" s="160"/>
      <c r="M22" s="160"/>
      <c r="N22" s="160"/>
      <c r="O22" s="160"/>
      <c r="P22" s="160"/>
      <c r="Q22" s="160"/>
      <c r="R22" s="160"/>
      <c r="S22" s="162"/>
      <c r="U22" s="78"/>
    </row>
    <row r="23" spans="1:21" ht="23.25">
      <c r="A23" s="151"/>
      <c r="B23" s="149"/>
      <c r="C23" s="149"/>
      <c r="D23" s="149"/>
      <c r="E23" s="149"/>
      <c r="F23" s="149"/>
      <c r="G23" s="149"/>
      <c r="H23" s="150"/>
      <c r="J23" s="120"/>
      <c r="K23" s="101" t="s">
        <v>298</v>
      </c>
      <c r="L23" s="149"/>
      <c r="M23" s="149"/>
      <c r="N23" s="149"/>
      <c r="O23" s="149"/>
      <c r="P23" s="149"/>
      <c r="Q23" s="149"/>
      <c r="S23" s="150"/>
      <c r="U23" s="78"/>
    </row>
    <row r="24" spans="1:21" ht="23.25">
      <c r="A24" s="156"/>
      <c r="B24" s="157"/>
      <c r="C24" s="157"/>
      <c r="D24" s="157"/>
      <c r="E24" s="157"/>
      <c r="F24" s="157"/>
      <c r="G24" s="157"/>
      <c r="H24" s="161"/>
      <c r="J24" s="130"/>
      <c r="K24" s="296" t="s">
        <v>329</v>
      </c>
      <c r="L24" s="149"/>
      <c r="M24" s="149"/>
      <c r="N24" s="149"/>
      <c r="O24" s="149"/>
      <c r="P24" s="149"/>
      <c r="Q24" s="340" t="s">
        <v>1</v>
      </c>
      <c r="S24" s="150"/>
      <c r="U24" s="78"/>
    </row>
    <row r="25" spans="1:22" ht="18">
      <c r="A25" s="144"/>
      <c r="B25" s="145"/>
      <c r="C25" s="145"/>
      <c r="D25" s="145"/>
      <c r="E25" s="145"/>
      <c r="F25" s="145"/>
      <c r="G25" s="145"/>
      <c r="H25" s="146"/>
      <c r="J25" s="151"/>
      <c r="K25" s="813" t="s">
        <v>287</v>
      </c>
      <c r="L25" s="813"/>
      <c r="M25" s="813"/>
      <c r="N25" s="813"/>
      <c r="O25" s="813"/>
      <c r="P25" s="813"/>
      <c r="Q25" s="153">
        <v>0</v>
      </c>
      <c r="S25" s="150"/>
      <c r="U25" s="78"/>
      <c r="V25" s="78"/>
    </row>
    <row r="26" spans="1:21" ht="23.25">
      <c r="A26" s="119" t="s">
        <v>295</v>
      </c>
      <c r="B26" s="147"/>
      <c r="C26" s="149"/>
      <c r="D26" s="149"/>
      <c r="E26" s="149"/>
      <c r="F26" s="149"/>
      <c r="G26" s="149"/>
      <c r="H26" s="152"/>
      <c r="J26" s="151"/>
      <c r="K26" s="813" t="s">
        <v>300</v>
      </c>
      <c r="L26" s="813"/>
      <c r="M26" s="813"/>
      <c r="N26" s="813"/>
      <c r="O26" s="813"/>
      <c r="P26" s="813"/>
      <c r="Q26" s="153">
        <v>0</v>
      </c>
      <c r="S26" s="150"/>
      <c r="U26" s="78"/>
    </row>
    <row r="27" spans="1:21" ht="20.25">
      <c r="A27" s="151"/>
      <c r="B27" s="149"/>
      <c r="C27" s="149"/>
      <c r="D27" s="149"/>
      <c r="E27" s="149"/>
      <c r="F27" s="149"/>
      <c r="G27" s="340" t="s">
        <v>1</v>
      </c>
      <c r="H27" s="152"/>
      <c r="J27" s="151"/>
      <c r="K27" s="824"/>
      <c r="L27" s="824"/>
      <c r="M27" s="824"/>
      <c r="N27" s="824"/>
      <c r="O27" s="824"/>
      <c r="P27" s="824"/>
      <c r="Q27" s="154"/>
      <c r="R27"/>
      <c r="S27" s="150"/>
      <c r="U27" s="78"/>
    </row>
    <row r="28" spans="1:21" ht="20.25">
      <c r="A28" s="151"/>
      <c r="B28" s="813" t="s">
        <v>279</v>
      </c>
      <c r="C28" s="813"/>
      <c r="D28" s="813"/>
      <c r="E28" s="813"/>
      <c r="F28" s="813"/>
      <c r="G28" s="153">
        <v>0.4</v>
      </c>
      <c r="H28" s="152"/>
      <c r="J28" s="151"/>
      <c r="P28" s="125" t="s">
        <v>301</v>
      </c>
      <c r="Q28" s="126">
        <f>SUM(Q25:Q27)</f>
        <v>0</v>
      </c>
      <c r="R28" s="21" t="s">
        <v>1</v>
      </c>
      <c r="S28" s="150"/>
      <c r="U28" s="78"/>
    </row>
    <row r="29" spans="1:21" ht="18">
      <c r="A29" s="151"/>
      <c r="B29" s="813" t="s">
        <v>63</v>
      </c>
      <c r="C29" s="813"/>
      <c r="D29" s="813"/>
      <c r="E29" s="813"/>
      <c r="F29" s="813"/>
      <c r="G29" s="153">
        <v>1.5</v>
      </c>
      <c r="H29" s="152"/>
      <c r="J29" s="156"/>
      <c r="K29" s="235"/>
      <c r="L29" s="235"/>
      <c r="M29" s="235"/>
      <c r="N29" s="235"/>
      <c r="O29" s="235"/>
      <c r="P29" s="235"/>
      <c r="Q29" s="235"/>
      <c r="R29" s="235"/>
      <c r="S29" s="161"/>
      <c r="U29" s="78"/>
    </row>
    <row r="30" spans="1:21" ht="18">
      <c r="A30" s="151"/>
      <c r="B30" s="813" t="s">
        <v>281</v>
      </c>
      <c r="C30" s="813"/>
      <c r="D30" s="813"/>
      <c r="E30" s="813"/>
      <c r="F30" s="813"/>
      <c r="G30" s="153">
        <v>2</v>
      </c>
      <c r="H30" s="152"/>
      <c r="J30" s="159"/>
      <c r="K30" s="160"/>
      <c r="L30" s="160"/>
      <c r="M30" s="160"/>
      <c r="N30" s="160"/>
      <c r="O30" s="160"/>
      <c r="P30" s="160"/>
      <c r="Q30" s="160"/>
      <c r="R30" s="160"/>
      <c r="S30" s="146"/>
      <c r="U30" s="78"/>
    </row>
    <row r="31" spans="1:21" ht="23.25">
      <c r="A31" s="151"/>
      <c r="B31" s="813" t="s">
        <v>282</v>
      </c>
      <c r="C31" s="813"/>
      <c r="D31" s="813"/>
      <c r="E31" s="813"/>
      <c r="F31" s="813"/>
      <c r="G31" s="153">
        <v>0.8</v>
      </c>
      <c r="H31" s="152"/>
      <c r="J31" s="151"/>
      <c r="K31" s="101" t="s">
        <v>315</v>
      </c>
      <c r="L31" s="149"/>
      <c r="M31" s="149"/>
      <c r="N31" s="149"/>
      <c r="O31" s="149"/>
      <c r="P31" s="149"/>
      <c r="Q31" s="149"/>
      <c r="R31" s="149"/>
      <c r="S31" s="152"/>
      <c r="U31" s="78"/>
    </row>
    <row r="32" spans="1:21" ht="23.25">
      <c r="A32" s="151"/>
      <c r="B32" s="824"/>
      <c r="C32" s="824"/>
      <c r="D32" s="824"/>
      <c r="E32" s="824"/>
      <c r="F32" s="824"/>
      <c r="G32" s="153"/>
      <c r="H32" s="152"/>
      <c r="J32" s="151"/>
      <c r="K32" s="295" t="s">
        <v>330</v>
      </c>
      <c r="L32" s="149"/>
      <c r="M32" s="149"/>
      <c r="N32" s="149"/>
      <c r="O32" s="149"/>
      <c r="P32" s="149"/>
      <c r="Q32" s="340" t="s">
        <v>1</v>
      </c>
      <c r="S32" s="152"/>
      <c r="U32" s="78"/>
    </row>
    <row r="33" spans="1:21" ht="18">
      <c r="A33" s="151"/>
      <c r="B33" s="824"/>
      <c r="C33" s="824"/>
      <c r="D33" s="824"/>
      <c r="E33" s="824"/>
      <c r="F33" s="824"/>
      <c r="G33" s="154"/>
      <c r="H33" s="152"/>
      <c r="J33" s="151"/>
      <c r="K33" s="821" t="s">
        <v>313</v>
      </c>
      <c r="L33" s="822"/>
      <c r="M33" s="822"/>
      <c r="N33" s="822"/>
      <c r="O33" s="822"/>
      <c r="P33" s="822"/>
      <c r="Q33" s="153">
        <v>1</v>
      </c>
      <c r="S33" s="152"/>
      <c r="U33" s="78"/>
    </row>
    <row r="34" spans="1:21" ht="20.25">
      <c r="A34" s="151"/>
      <c r="B34" s="149"/>
      <c r="C34" s="149"/>
      <c r="D34" s="147"/>
      <c r="E34" s="149"/>
      <c r="F34" s="125" t="s">
        <v>283</v>
      </c>
      <c r="G34" s="126">
        <f>SUM(G28:G33)</f>
        <v>4.7</v>
      </c>
      <c r="H34" s="152"/>
      <c r="J34" s="151"/>
      <c r="K34" s="821" t="s">
        <v>288</v>
      </c>
      <c r="L34" s="822"/>
      <c r="M34" s="822"/>
      <c r="N34" s="822"/>
      <c r="O34" s="822"/>
      <c r="P34" s="822"/>
      <c r="Q34" s="153">
        <v>2</v>
      </c>
      <c r="S34" s="152"/>
      <c r="U34" s="78"/>
    </row>
    <row r="35" spans="1:21" ht="18">
      <c r="A35" s="280"/>
      <c r="B35" s="147"/>
      <c r="C35" s="147"/>
      <c r="D35" s="147"/>
      <c r="E35" s="147"/>
      <c r="F35" s="147"/>
      <c r="G35" s="147"/>
      <c r="H35" s="152"/>
      <c r="J35" s="151"/>
      <c r="K35" s="821" t="s">
        <v>402</v>
      </c>
      <c r="L35" s="822"/>
      <c r="M35" s="822"/>
      <c r="N35" s="822"/>
      <c r="O35" s="822"/>
      <c r="P35" s="822"/>
      <c r="Q35" s="153">
        <v>2</v>
      </c>
      <c r="S35" s="152"/>
      <c r="U35" s="78"/>
    </row>
    <row r="36" spans="1:21" ht="18">
      <c r="A36" s="156"/>
      <c r="B36" s="157"/>
      <c r="C36" s="157"/>
      <c r="D36" s="157"/>
      <c r="E36" s="157"/>
      <c r="F36" s="157"/>
      <c r="G36" s="157"/>
      <c r="H36" s="158"/>
      <c r="J36" s="151"/>
      <c r="K36" s="821" t="s">
        <v>314</v>
      </c>
      <c r="L36" s="822"/>
      <c r="M36" s="822"/>
      <c r="N36" s="822"/>
      <c r="O36" s="822"/>
      <c r="P36" s="822"/>
      <c r="Q36" s="153">
        <v>1</v>
      </c>
      <c r="S36" s="152"/>
      <c r="U36" s="78"/>
    </row>
    <row r="37" spans="10:21" ht="18">
      <c r="J37" s="151"/>
      <c r="K37" s="821" t="s">
        <v>289</v>
      </c>
      <c r="L37" s="822"/>
      <c r="M37" s="822"/>
      <c r="N37" s="822"/>
      <c r="O37" s="822"/>
      <c r="P37" s="822"/>
      <c r="Q37" s="153">
        <v>1</v>
      </c>
      <c r="S37" s="152"/>
      <c r="U37" s="78"/>
    </row>
    <row r="38" spans="1:21" ht="18">
      <c r="A38"/>
      <c r="B38"/>
      <c r="C38"/>
      <c r="D38"/>
      <c r="E38"/>
      <c r="F38"/>
      <c r="G38"/>
      <c r="H38"/>
      <c r="I38"/>
      <c r="J38" s="151"/>
      <c r="K38" s="821" t="s">
        <v>302</v>
      </c>
      <c r="L38" s="822"/>
      <c r="M38" s="822"/>
      <c r="N38" s="822"/>
      <c r="O38" s="822"/>
      <c r="P38" s="822"/>
      <c r="Q38" s="153">
        <v>1</v>
      </c>
      <c r="S38" s="152"/>
      <c r="U38" s="78"/>
    </row>
    <row r="39" spans="1:21" ht="18">
      <c r="A39"/>
      <c r="B39"/>
      <c r="C39"/>
      <c r="D39"/>
      <c r="E39"/>
      <c r="F39"/>
      <c r="G39"/>
      <c r="H39"/>
      <c r="I39"/>
      <c r="J39" s="151"/>
      <c r="K39" s="815"/>
      <c r="L39" s="816"/>
      <c r="M39" s="816"/>
      <c r="N39" s="816"/>
      <c r="O39" s="816"/>
      <c r="P39" s="816"/>
      <c r="Q39" s="153"/>
      <c r="S39" s="152"/>
      <c r="U39" s="78"/>
    </row>
    <row r="40" spans="1:21" ht="18">
      <c r="A40"/>
      <c r="B40"/>
      <c r="C40"/>
      <c r="D40"/>
      <c r="E40"/>
      <c r="F40"/>
      <c r="G40"/>
      <c r="H40"/>
      <c r="I40"/>
      <c r="J40" s="151"/>
      <c r="K40" s="815"/>
      <c r="L40" s="816"/>
      <c r="M40" s="816"/>
      <c r="N40" s="816"/>
      <c r="O40" s="816"/>
      <c r="P40" s="816"/>
      <c r="Q40" s="153"/>
      <c r="S40" s="152"/>
      <c r="U40" s="78"/>
    </row>
    <row r="41" spans="1:21" ht="18">
      <c r="A41"/>
      <c r="B41"/>
      <c r="C41"/>
      <c r="D41"/>
      <c r="E41"/>
      <c r="F41"/>
      <c r="G41"/>
      <c r="H41"/>
      <c r="I41"/>
      <c r="J41" s="151"/>
      <c r="K41" s="815"/>
      <c r="L41" s="816"/>
      <c r="M41" s="816"/>
      <c r="N41" s="816"/>
      <c r="O41" s="816"/>
      <c r="P41" s="816"/>
      <c r="Q41" s="154"/>
      <c r="S41" s="152"/>
      <c r="U41" s="78"/>
    </row>
    <row r="42" spans="1:21" ht="20.25">
      <c r="A42"/>
      <c r="B42"/>
      <c r="C42"/>
      <c r="D42"/>
      <c r="E42"/>
      <c r="F42"/>
      <c r="G42"/>
      <c r="H42"/>
      <c r="I42"/>
      <c r="J42" s="151"/>
      <c r="K42" s="149"/>
      <c r="L42" s="149"/>
      <c r="M42" s="149"/>
      <c r="N42" s="149"/>
      <c r="O42" s="149"/>
      <c r="P42" s="575" t="s">
        <v>290</v>
      </c>
      <c r="Q42" s="126">
        <f>SUM(Q33:Q41)</f>
        <v>8</v>
      </c>
      <c r="R42" s="123" t="s">
        <v>9</v>
      </c>
      <c r="S42" s="152"/>
      <c r="U42" s="78"/>
    </row>
    <row r="43" spans="1:21" ht="18">
      <c r="A43"/>
      <c r="B43"/>
      <c r="C43"/>
      <c r="D43"/>
      <c r="E43"/>
      <c r="F43"/>
      <c r="G43"/>
      <c r="H43"/>
      <c r="I43"/>
      <c r="J43" s="356"/>
      <c r="K43" s="235"/>
      <c r="L43" s="235"/>
      <c r="M43" s="235"/>
      <c r="N43" s="235"/>
      <c r="O43" s="235"/>
      <c r="P43" s="235"/>
      <c r="Q43" s="235"/>
      <c r="R43" s="235"/>
      <c r="S43" s="158"/>
      <c r="U43" s="78"/>
    </row>
    <row r="44" spans="1:21" ht="18">
      <c r="A44" s="78"/>
      <c r="B44" s="78"/>
      <c r="C44" s="78"/>
      <c r="D44" s="78"/>
      <c r="E44" s="78"/>
      <c r="F44" s="78"/>
      <c r="G44" s="78"/>
      <c r="H44" s="78"/>
      <c r="I44" s="78"/>
      <c r="U44" s="78"/>
    </row>
    <row r="45" spans="1:21" ht="18">
      <c r="A45" s="78"/>
      <c r="B45" s="78"/>
      <c r="C45" s="78"/>
      <c r="D45" s="78"/>
      <c r="E45" s="78"/>
      <c r="F45" s="78"/>
      <c r="G45" s="78"/>
      <c r="H45" s="78"/>
      <c r="I45" s="78"/>
      <c r="U45" s="78"/>
    </row>
    <row r="46" spans="2:22" ht="18">
      <c r="B46" s="78"/>
      <c r="C46" s="78"/>
      <c r="E46" s="78"/>
      <c r="F46" s="78"/>
      <c r="G46" s="78"/>
      <c r="H46" s="78"/>
      <c r="I46" s="78"/>
      <c r="J46" s="78"/>
      <c r="U46" s="78"/>
      <c r="V46" s="78"/>
    </row>
    <row r="47" spans="2:22" ht="18">
      <c r="B47" s="78"/>
      <c r="C47" s="78"/>
      <c r="E47" s="78"/>
      <c r="F47" s="78"/>
      <c r="G47" s="78"/>
      <c r="H47" s="78"/>
      <c r="I47" s="78"/>
      <c r="J47" s="78"/>
      <c r="U47" s="78"/>
      <c r="V47" s="78"/>
    </row>
    <row r="48" spans="1:22" ht="26.25">
      <c r="A48" s="297" t="s">
        <v>303</v>
      </c>
      <c r="B48" s="78"/>
      <c r="C48" s="78"/>
      <c r="E48" s="78"/>
      <c r="F48" s="78"/>
      <c r="G48" s="78"/>
      <c r="H48" s="78"/>
      <c r="I48" s="78"/>
      <c r="J48" s="78"/>
      <c r="U48" s="78"/>
      <c r="V48" s="78"/>
    </row>
    <row r="49" spans="1:22" ht="20.25">
      <c r="A49" s="78"/>
      <c r="B49" s="78"/>
      <c r="C49" s="78"/>
      <c r="E49" s="864" t="s">
        <v>291</v>
      </c>
      <c r="F49" s="865"/>
      <c r="G49" s="866"/>
      <c r="H49" s="132">
        <f>+F19</f>
        <v>1.2</v>
      </c>
      <c r="I49" s="78"/>
      <c r="J49" s="78"/>
      <c r="U49" s="78"/>
      <c r="V49" s="78"/>
    </row>
    <row r="50" spans="1:22" ht="20.25">
      <c r="A50" s="131"/>
      <c r="B50" s="78"/>
      <c r="C50" s="78"/>
      <c r="E50" s="864" t="s">
        <v>292</v>
      </c>
      <c r="F50" s="865"/>
      <c r="G50" s="866"/>
      <c r="H50" s="124" t="s">
        <v>20</v>
      </c>
      <c r="I50" s="78"/>
      <c r="J50" s="78"/>
      <c r="U50" s="78"/>
      <c r="V50" s="78"/>
    </row>
    <row r="51" spans="1:22" ht="18.75" thickBot="1">
      <c r="A51" s="78"/>
      <c r="B51" s="78"/>
      <c r="C51" s="78"/>
      <c r="E51" s="78"/>
      <c r="F51" s="78"/>
      <c r="G51" s="78"/>
      <c r="H51" s="78"/>
      <c r="I51" s="78"/>
      <c r="J51" s="78"/>
      <c r="K51" s="78"/>
      <c r="L51" s="78"/>
      <c r="M51" s="78"/>
      <c r="O51" s="78"/>
      <c r="P51" s="78"/>
      <c r="Q51" s="78"/>
      <c r="R51" s="78"/>
      <c r="S51" s="78"/>
      <c r="T51" s="78"/>
      <c r="U51" s="78"/>
      <c r="V51" s="78"/>
    </row>
    <row r="52" spans="1:20" ht="20.25">
      <c r="A52" s="122"/>
      <c r="B52" s="122"/>
      <c r="C52" s="133" t="s">
        <v>105</v>
      </c>
      <c r="D52" s="122"/>
      <c r="E52" s="122"/>
      <c r="F52" s="133" t="s">
        <v>65</v>
      </c>
      <c r="H52" s="835" t="s">
        <v>307</v>
      </c>
      <c r="I52" s="836"/>
      <c r="J52" s="837"/>
      <c r="K52" s="835" t="s">
        <v>308</v>
      </c>
      <c r="L52" s="838"/>
      <c r="M52" s="720"/>
      <c r="O52" s="78"/>
      <c r="P52" s="78"/>
      <c r="Q52" s="78"/>
      <c r="R52" s="78"/>
      <c r="S52" s="78"/>
      <c r="T52" s="78"/>
    </row>
    <row r="53" spans="1:20" ht="21" thickBot="1">
      <c r="A53" s="134" t="s">
        <v>318</v>
      </c>
      <c r="B53" s="556" t="s">
        <v>306</v>
      </c>
      <c r="C53" s="136" t="s">
        <v>106</v>
      </c>
      <c r="D53" s="135" t="s">
        <v>304</v>
      </c>
      <c r="E53" s="134" t="s">
        <v>10</v>
      </c>
      <c r="F53" s="136" t="s">
        <v>107</v>
      </c>
      <c r="H53" s="569" t="s">
        <v>63</v>
      </c>
      <c r="I53" s="570" t="s">
        <v>105</v>
      </c>
      <c r="J53" s="571" t="s">
        <v>10</v>
      </c>
      <c r="K53" s="572" t="s">
        <v>309</v>
      </c>
      <c r="L53" s="573"/>
      <c r="M53" s="574"/>
      <c r="O53" s="78"/>
      <c r="P53" s="78"/>
      <c r="Q53" s="78"/>
      <c r="R53" s="78"/>
      <c r="S53" s="78"/>
      <c r="T53" s="78"/>
    </row>
    <row r="54" spans="1:20" ht="18.75" thickTop="1">
      <c r="A54" s="167">
        <v>1</v>
      </c>
      <c r="B54" s="168">
        <v>5</v>
      </c>
      <c r="C54" s="168">
        <v>0</v>
      </c>
      <c r="D54" s="168">
        <v>1</v>
      </c>
      <c r="E54" s="168"/>
      <c r="F54" s="169">
        <f aca="true" t="shared" si="0" ref="F54:F79">IF(B54=0,0,(B54+0.2)/$H$49)</f>
        <v>4.333333333333334</v>
      </c>
      <c r="H54" s="288">
        <f>$G$16*F54</f>
        <v>21.233333333333334</v>
      </c>
      <c r="I54" s="169">
        <f aca="true" t="shared" si="1" ref="I54:I79">+C54*$P$12</f>
        <v>0</v>
      </c>
      <c r="J54" s="289">
        <f aca="true" t="shared" si="2" ref="J54:J79">+E54*$G$34</f>
        <v>0</v>
      </c>
      <c r="K54" s="298">
        <f aca="true" t="shared" si="3" ref="K54:K79">IF(B54&gt;0,$Q$20,0)</f>
        <v>1.2</v>
      </c>
      <c r="L54" s="149"/>
      <c r="M54" s="166"/>
      <c r="O54" s="78"/>
      <c r="P54" s="78"/>
      <c r="Q54" s="78"/>
      <c r="R54" s="78"/>
      <c r="S54" s="78"/>
      <c r="T54" s="78"/>
    </row>
    <row r="55" spans="1:20" ht="18">
      <c r="A55" s="173">
        <f aca="true" t="shared" si="4" ref="A55:A79">+A54+1</f>
        <v>2</v>
      </c>
      <c r="B55" s="154">
        <v>5</v>
      </c>
      <c r="C55" s="154">
        <v>0</v>
      </c>
      <c r="D55" s="154">
        <v>1</v>
      </c>
      <c r="E55" s="154"/>
      <c r="F55" s="169">
        <f t="shared" si="0"/>
        <v>4.333333333333334</v>
      </c>
      <c r="H55" s="170">
        <f aca="true" t="shared" si="5" ref="H55:H79">$G$16*F55</f>
        <v>21.233333333333334</v>
      </c>
      <c r="I55" s="171">
        <f t="shared" si="1"/>
        <v>0</v>
      </c>
      <c r="J55" s="172">
        <f t="shared" si="2"/>
        <v>0</v>
      </c>
      <c r="K55" s="298">
        <f t="shared" si="3"/>
        <v>1.2</v>
      </c>
      <c r="L55" s="149"/>
      <c r="M55" s="166"/>
      <c r="O55" s="78"/>
      <c r="P55" s="78"/>
      <c r="Q55" s="78"/>
      <c r="R55" s="78"/>
      <c r="S55" s="78"/>
      <c r="T55" s="78"/>
    </row>
    <row r="56" spans="1:20" ht="18">
      <c r="A56" s="173">
        <f t="shared" si="4"/>
        <v>3</v>
      </c>
      <c r="B56" s="154">
        <v>5</v>
      </c>
      <c r="C56" s="154">
        <v>0</v>
      </c>
      <c r="D56" s="154">
        <v>1</v>
      </c>
      <c r="E56" s="154"/>
      <c r="F56" s="169">
        <f t="shared" si="0"/>
        <v>4.333333333333334</v>
      </c>
      <c r="H56" s="170">
        <f t="shared" si="5"/>
        <v>21.233333333333334</v>
      </c>
      <c r="I56" s="171">
        <f t="shared" si="1"/>
        <v>0</v>
      </c>
      <c r="J56" s="172">
        <f t="shared" si="2"/>
        <v>0</v>
      </c>
      <c r="K56" s="298">
        <f t="shared" si="3"/>
        <v>1.2</v>
      </c>
      <c r="L56" s="149"/>
      <c r="M56" s="166"/>
      <c r="O56" s="78"/>
      <c r="P56" s="78"/>
      <c r="Q56" s="78"/>
      <c r="R56" s="78"/>
      <c r="S56" s="78"/>
      <c r="T56" s="78"/>
    </row>
    <row r="57" spans="1:20" ht="18">
      <c r="A57" s="173">
        <f t="shared" si="4"/>
        <v>4</v>
      </c>
      <c r="B57" s="154">
        <v>5</v>
      </c>
      <c r="C57" s="154">
        <v>0</v>
      </c>
      <c r="D57" s="154">
        <v>2</v>
      </c>
      <c r="E57" s="154"/>
      <c r="F57" s="169">
        <f t="shared" si="0"/>
        <v>4.333333333333334</v>
      </c>
      <c r="H57" s="170">
        <f t="shared" si="5"/>
        <v>21.233333333333334</v>
      </c>
      <c r="I57" s="171">
        <f t="shared" si="1"/>
        <v>0</v>
      </c>
      <c r="J57" s="172">
        <f t="shared" si="2"/>
        <v>0</v>
      </c>
      <c r="K57" s="298">
        <f t="shared" si="3"/>
        <v>1.2</v>
      </c>
      <c r="L57" s="149"/>
      <c r="M57" s="166"/>
      <c r="O57" s="78"/>
      <c r="P57" s="78"/>
      <c r="Q57" s="78"/>
      <c r="R57" s="78"/>
      <c r="S57" s="78"/>
      <c r="T57" s="78"/>
    </row>
    <row r="58" spans="1:20" ht="18">
      <c r="A58" s="173">
        <f t="shared" si="4"/>
        <v>5</v>
      </c>
      <c r="B58" s="154">
        <v>5</v>
      </c>
      <c r="C58" s="154">
        <v>0</v>
      </c>
      <c r="D58" s="154">
        <v>2</v>
      </c>
      <c r="E58" s="154"/>
      <c r="F58" s="169">
        <f t="shared" si="0"/>
        <v>4.333333333333334</v>
      </c>
      <c r="H58" s="170">
        <f t="shared" si="5"/>
        <v>21.233333333333334</v>
      </c>
      <c r="I58" s="171">
        <f t="shared" si="1"/>
        <v>0</v>
      </c>
      <c r="J58" s="172">
        <f t="shared" si="2"/>
        <v>0</v>
      </c>
      <c r="K58" s="298">
        <f t="shared" si="3"/>
        <v>1.2</v>
      </c>
      <c r="L58" s="149"/>
      <c r="M58" s="166"/>
      <c r="O58" s="78"/>
      <c r="P58" s="78"/>
      <c r="Q58" s="78"/>
      <c r="R58" s="78"/>
      <c r="S58" s="78"/>
      <c r="T58" s="78"/>
    </row>
    <row r="59" spans="1:20" ht="18">
      <c r="A59" s="173">
        <f t="shared" si="4"/>
        <v>6</v>
      </c>
      <c r="B59" s="154">
        <v>5</v>
      </c>
      <c r="C59" s="154">
        <v>0</v>
      </c>
      <c r="D59" s="154">
        <v>2</v>
      </c>
      <c r="E59" s="154"/>
      <c r="F59" s="169">
        <f t="shared" si="0"/>
        <v>4.333333333333334</v>
      </c>
      <c r="H59" s="170">
        <f t="shared" si="5"/>
        <v>21.233333333333334</v>
      </c>
      <c r="I59" s="171">
        <f t="shared" si="1"/>
        <v>0</v>
      </c>
      <c r="J59" s="172">
        <f t="shared" si="2"/>
        <v>0</v>
      </c>
      <c r="K59" s="298">
        <f t="shared" si="3"/>
        <v>1.2</v>
      </c>
      <c r="L59" s="149"/>
      <c r="M59" s="166"/>
      <c r="O59" s="78"/>
      <c r="P59" s="78"/>
      <c r="Q59" s="78"/>
      <c r="R59" s="78"/>
      <c r="S59" s="78"/>
      <c r="T59" s="78"/>
    </row>
    <row r="60" spans="1:20" ht="18">
      <c r="A60" s="173">
        <f t="shared" si="4"/>
        <v>7</v>
      </c>
      <c r="B60" s="154"/>
      <c r="C60" s="154"/>
      <c r="D60" s="154"/>
      <c r="E60" s="154"/>
      <c r="F60" s="169">
        <f t="shared" si="0"/>
        <v>0</v>
      </c>
      <c r="H60" s="170">
        <f t="shared" si="5"/>
        <v>0</v>
      </c>
      <c r="I60" s="171">
        <f t="shared" si="1"/>
        <v>0</v>
      </c>
      <c r="J60" s="172">
        <f t="shared" si="2"/>
        <v>0</v>
      </c>
      <c r="K60" s="298">
        <f t="shared" si="3"/>
        <v>0</v>
      </c>
      <c r="L60" s="149"/>
      <c r="M60" s="166"/>
      <c r="O60" s="78"/>
      <c r="P60" s="78"/>
      <c r="Q60" s="78"/>
      <c r="R60" s="78"/>
      <c r="S60" s="78"/>
      <c r="T60" s="78"/>
    </row>
    <row r="61" spans="1:20" ht="18">
      <c r="A61" s="173">
        <f t="shared" si="4"/>
        <v>8</v>
      </c>
      <c r="B61" s="154"/>
      <c r="C61" s="154"/>
      <c r="D61" s="154"/>
      <c r="E61" s="154"/>
      <c r="F61" s="169">
        <f t="shared" si="0"/>
        <v>0</v>
      </c>
      <c r="H61" s="170">
        <f t="shared" si="5"/>
        <v>0</v>
      </c>
      <c r="I61" s="171">
        <f t="shared" si="1"/>
        <v>0</v>
      </c>
      <c r="J61" s="172">
        <f t="shared" si="2"/>
        <v>0</v>
      </c>
      <c r="K61" s="298">
        <f t="shared" si="3"/>
        <v>0</v>
      </c>
      <c r="L61" s="149"/>
      <c r="M61" s="166"/>
      <c r="O61" s="78"/>
      <c r="P61" s="78"/>
      <c r="Q61" s="78"/>
      <c r="R61" s="78"/>
      <c r="S61" s="78"/>
      <c r="T61" s="78"/>
    </row>
    <row r="62" spans="1:20" ht="18">
      <c r="A62" s="173">
        <f t="shared" si="4"/>
        <v>9</v>
      </c>
      <c r="B62" s="154"/>
      <c r="C62" s="154"/>
      <c r="D62" s="154"/>
      <c r="E62" s="154"/>
      <c r="F62" s="169">
        <f t="shared" si="0"/>
        <v>0</v>
      </c>
      <c r="H62" s="170">
        <f t="shared" si="5"/>
        <v>0</v>
      </c>
      <c r="I62" s="171">
        <f t="shared" si="1"/>
        <v>0</v>
      </c>
      <c r="J62" s="172">
        <f t="shared" si="2"/>
        <v>0</v>
      </c>
      <c r="K62" s="298">
        <f t="shared" si="3"/>
        <v>0</v>
      </c>
      <c r="L62" s="149"/>
      <c r="M62" s="166"/>
      <c r="O62" s="78"/>
      <c r="P62" s="78"/>
      <c r="Q62" s="78"/>
      <c r="R62" s="78"/>
      <c r="S62" s="78"/>
      <c r="T62" s="78"/>
    </row>
    <row r="63" spans="1:20" ht="18">
      <c r="A63" s="173">
        <f t="shared" si="4"/>
        <v>10</v>
      </c>
      <c r="B63" s="154"/>
      <c r="C63" s="154"/>
      <c r="D63" s="154"/>
      <c r="E63" s="154"/>
      <c r="F63" s="169">
        <f t="shared" si="0"/>
        <v>0</v>
      </c>
      <c r="H63" s="170">
        <f t="shared" si="5"/>
        <v>0</v>
      </c>
      <c r="I63" s="171">
        <f t="shared" si="1"/>
        <v>0</v>
      </c>
      <c r="J63" s="172">
        <f t="shared" si="2"/>
        <v>0</v>
      </c>
      <c r="K63" s="298">
        <f t="shared" si="3"/>
        <v>0</v>
      </c>
      <c r="L63" s="149"/>
      <c r="M63" s="166"/>
      <c r="O63" s="78"/>
      <c r="P63" s="79"/>
      <c r="Q63" s="149"/>
      <c r="R63" s="149"/>
      <c r="S63" s="78"/>
      <c r="T63" s="78"/>
    </row>
    <row r="64" spans="1:20" ht="18">
      <c r="A64" s="173">
        <f t="shared" si="4"/>
        <v>11</v>
      </c>
      <c r="B64" s="154"/>
      <c r="C64" s="154"/>
      <c r="D64" s="154"/>
      <c r="E64" s="154"/>
      <c r="F64" s="169">
        <f t="shared" si="0"/>
        <v>0</v>
      </c>
      <c r="H64" s="170">
        <f t="shared" si="5"/>
        <v>0</v>
      </c>
      <c r="I64" s="171">
        <f t="shared" si="1"/>
        <v>0</v>
      </c>
      <c r="J64" s="172">
        <f t="shared" si="2"/>
        <v>0</v>
      </c>
      <c r="K64" s="298">
        <f t="shared" si="3"/>
        <v>0</v>
      </c>
      <c r="L64" s="149"/>
      <c r="M64" s="166"/>
      <c r="O64" s="78"/>
      <c r="P64" s="79"/>
      <c r="Q64" s="149"/>
      <c r="R64" s="149"/>
      <c r="S64" s="78"/>
      <c r="T64" s="78"/>
    </row>
    <row r="65" spans="1:20" ht="18">
      <c r="A65" s="173">
        <f t="shared" si="4"/>
        <v>12</v>
      </c>
      <c r="B65" s="154"/>
      <c r="C65" s="154"/>
      <c r="D65" s="154"/>
      <c r="E65" s="154"/>
      <c r="F65" s="169">
        <f t="shared" si="0"/>
        <v>0</v>
      </c>
      <c r="H65" s="170">
        <f t="shared" si="5"/>
        <v>0</v>
      </c>
      <c r="I65" s="171">
        <f t="shared" si="1"/>
        <v>0</v>
      </c>
      <c r="J65" s="172">
        <f t="shared" si="2"/>
        <v>0</v>
      </c>
      <c r="K65" s="298">
        <f t="shared" si="3"/>
        <v>0</v>
      </c>
      <c r="L65" s="149"/>
      <c r="M65" s="166"/>
      <c r="O65" s="78"/>
      <c r="P65" s="79"/>
      <c r="Q65" s="149"/>
      <c r="R65" s="149"/>
      <c r="S65" s="78"/>
      <c r="T65" s="78"/>
    </row>
    <row r="66" spans="1:20" ht="18">
      <c r="A66" s="173">
        <f t="shared" si="4"/>
        <v>13</v>
      </c>
      <c r="B66" s="154"/>
      <c r="C66" s="154"/>
      <c r="D66" s="154"/>
      <c r="E66" s="154"/>
      <c r="F66" s="169">
        <f t="shared" si="0"/>
        <v>0</v>
      </c>
      <c r="H66" s="170">
        <f t="shared" si="5"/>
        <v>0</v>
      </c>
      <c r="I66" s="171">
        <f t="shared" si="1"/>
        <v>0</v>
      </c>
      <c r="J66" s="172">
        <f t="shared" si="2"/>
        <v>0</v>
      </c>
      <c r="K66" s="298">
        <f t="shared" si="3"/>
        <v>0</v>
      </c>
      <c r="L66" s="149"/>
      <c r="M66" s="166"/>
      <c r="O66" s="78"/>
      <c r="P66" s="79"/>
      <c r="Q66" s="149"/>
      <c r="R66" s="149"/>
      <c r="S66" s="78"/>
      <c r="T66" s="78"/>
    </row>
    <row r="67" spans="1:20" ht="18">
      <c r="A67" s="173">
        <f t="shared" si="4"/>
        <v>14</v>
      </c>
      <c r="B67" s="154"/>
      <c r="C67" s="154"/>
      <c r="D67" s="154"/>
      <c r="E67" s="154"/>
      <c r="F67" s="169">
        <f t="shared" si="0"/>
        <v>0</v>
      </c>
      <c r="H67" s="170">
        <f t="shared" si="5"/>
        <v>0</v>
      </c>
      <c r="I67" s="171">
        <f t="shared" si="1"/>
        <v>0</v>
      </c>
      <c r="J67" s="172">
        <f t="shared" si="2"/>
        <v>0</v>
      </c>
      <c r="K67" s="298">
        <f t="shared" si="3"/>
        <v>0</v>
      </c>
      <c r="L67" s="149"/>
      <c r="M67" s="166"/>
      <c r="O67" s="78"/>
      <c r="P67" s="79"/>
      <c r="Q67" s="149"/>
      <c r="R67" s="149"/>
      <c r="S67" s="78"/>
      <c r="T67" s="78"/>
    </row>
    <row r="68" spans="1:20" ht="18">
      <c r="A68" s="173">
        <f t="shared" si="4"/>
        <v>15</v>
      </c>
      <c r="B68" s="154"/>
      <c r="C68" s="154"/>
      <c r="D68" s="154"/>
      <c r="E68" s="154"/>
      <c r="F68" s="169">
        <f t="shared" si="0"/>
        <v>0</v>
      </c>
      <c r="H68" s="170">
        <f t="shared" si="5"/>
        <v>0</v>
      </c>
      <c r="I68" s="171">
        <f t="shared" si="1"/>
        <v>0</v>
      </c>
      <c r="J68" s="172">
        <f t="shared" si="2"/>
        <v>0</v>
      </c>
      <c r="K68" s="298">
        <f t="shared" si="3"/>
        <v>0</v>
      </c>
      <c r="L68" s="149"/>
      <c r="M68" s="166"/>
      <c r="O68" s="78"/>
      <c r="P68" s="79"/>
      <c r="Q68" s="149"/>
      <c r="R68" s="149"/>
      <c r="S68" s="78"/>
      <c r="T68" s="78"/>
    </row>
    <row r="69" spans="1:20" ht="18">
      <c r="A69" s="173">
        <f t="shared" si="4"/>
        <v>16</v>
      </c>
      <c r="B69" s="154"/>
      <c r="C69" s="154"/>
      <c r="D69" s="154"/>
      <c r="E69" s="154"/>
      <c r="F69" s="169">
        <f t="shared" si="0"/>
        <v>0</v>
      </c>
      <c r="H69" s="170">
        <f t="shared" si="5"/>
        <v>0</v>
      </c>
      <c r="I69" s="171">
        <f t="shared" si="1"/>
        <v>0</v>
      </c>
      <c r="J69" s="172">
        <f t="shared" si="2"/>
        <v>0</v>
      </c>
      <c r="K69" s="298">
        <f t="shared" si="3"/>
        <v>0</v>
      </c>
      <c r="L69" s="149"/>
      <c r="M69" s="166"/>
      <c r="O69" s="78"/>
      <c r="P69" s="79"/>
      <c r="Q69" s="149"/>
      <c r="R69" s="149"/>
      <c r="S69" s="78"/>
      <c r="T69" s="78"/>
    </row>
    <row r="70" spans="1:20" ht="18">
      <c r="A70" s="173">
        <f t="shared" si="4"/>
        <v>17</v>
      </c>
      <c r="B70" s="154"/>
      <c r="C70" s="154"/>
      <c r="D70" s="154"/>
      <c r="E70" s="154"/>
      <c r="F70" s="169">
        <f t="shared" si="0"/>
        <v>0</v>
      </c>
      <c r="H70" s="170">
        <f t="shared" si="5"/>
        <v>0</v>
      </c>
      <c r="I70" s="171">
        <f t="shared" si="1"/>
        <v>0</v>
      </c>
      <c r="J70" s="172">
        <f t="shared" si="2"/>
        <v>0</v>
      </c>
      <c r="K70" s="298">
        <f t="shared" si="3"/>
        <v>0</v>
      </c>
      <c r="L70" s="149"/>
      <c r="M70" s="166"/>
      <c r="O70" s="78"/>
      <c r="P70" s="79"/>
      <c r="Q70" s="149"/>
      <c r="R70" s="149"/>
      <c r="S70" s="78"/>
      <c r="T70" s="78"/>
    </row>
    <row r="71" spans="1:20" ht="18">
      <c r="A71" s="173">
        <f t="shared" si="4"/>
        <v>18</v>
      </c>
      <c r="B71" s="154"/>
      <c r="C71" s="154"/>
      <c r="D71" s="154"/>
      <c r="E71" s="154"/>
      <c r="F71" s="169">
        <f t="shared" si="0"/>
        <v>0</v>
      </c>
      <c r="H71" s="170">
        <f t="shared" si="5"/>
        <v>0</v>
      </c>
      <c r="I71" s="171">
        <f t="shared" si="1"/>
        <v>0</v>
      </c>
      <c r="J71" s="172">
        <f t="shared" si="2"/>
        <v>0</v>
      </c>
      <c r="K71" s="298">
        <f t="shared" si="3"/>
        <v>0</v>
      </c>
      <c r="L71" s="149"/>
      <c r="M71" s="166"/>
      <c r="O71" s="78"/>
      <c r="P71" s="79"/>
      <c r="Q71" s="149"/>
      <c r="R71" s="149"/>
      <c r="S71" s="78"/>
      <c r="T71" s="78"/>
    </row>
    <row r="72" spans="1:20" ht="18">
      <c r="A72" s="173">
        <f t="shared" si="4"/>
        <v>19</v>
      </c>
      <c r="B72" s="154"/>
      <c r="C72" s="154"/>
      <c r="D72" s="154"/>
      <c r="E72" s="154"/>
      <c r="F72" s="169">
        <f t="shared" si="0"/>
        <v>0</v>
      </c>
      <c r="H72" s="170">
        <f t="shared" si="5"/>
        <v>0</v>
      </c>
      <c r="I72" s="171">
        <f t="shared" si="1"/>
        <v>0</v>
      </c>
      <c r="J72" s="172">
        <f t="shared" si="2"/>
        <v>0</v>
      </c>
      <c r="K72" s="298">
        <f t="shared" si="3"/>
        <v>0</v>
      </c>
      <c r="L72" s="149"/>
      <c r="M72" s="166"/>
      <c r="O72" s="78"/>
      <c r="P72" s="79"/>
      <c r="Q72" s="149"/>
      <c r="R72" s="149"/>
      <c r="S72" s="78"/>
      <c r="T72" s="78"/>
    </row>
    <row r="73" spans="1:20" ht="18">
      <c r="A73" s="173">
        <f t="shared" si="4"/>
        <v>20</v>
      </c>
      <c r="B73" s="154"/>
      <c r="C73" s="154"/>
      <c r="D73" s="154"/>
      <c r="E73" s="154"/>
      <c r="F73" s="169">
        <f t="shared" si="0"/>
        <v>0</v>
      </c>
      <c r="H73" s="170">
        <f t="shared" si="5"/>
        <v>0</v>
      </c>
      <c r="I73" s="171">
        <f t="shared" si="1"/>
        <v>0</v>
      </c>
      <c r="J73" s="172">
        <f t="shared" si="2"/>
        <v>0</v>
      </c>
      <c r="K73" s="298">
        <f t="shared" si="3"/>
        <v>0</v>
      </c>
      <c r="L73" s="149"/>
      <c r="M73" s="166"/>
      <c r="O73" s="78"/>
      <c r="P73" s="79"/>
      <c r="Q73" s="149"/>
      <c r="R73" s="149"/>
      <c r="S73" s="78"/>
      <c r="T73" s="78"/>
    </row>
    <row r="74" spans="1:20" ht="18">
      <c r="A74" s="173">
        <f t="shared" si="4"/>
        <v>21</v>
      </c>
      <c r="B74" s="154"/>
      <c r="C74" s="154"/>
      <c r="D74" s="154"/>
      <c r="E74" s="154"/>
      <c r="F74" s="169">
        <f t="shared" si="0"/>
        <v>0</v>
      </c>
      <c r="H74" s="170">
        <f t="shared" si="5"/>
        <v>0</v>
      </c>
      <c r="I74" s="171">
        <f t="shared" si="1"/>
        <v>0</v>
      </c>
      <c r="J74" s="172">
        <f t="shared" si="2"/>
        <v>0</v>
      </c>
      <c r="K74" s="298">
        <f t="shared" si="3"/>
        <v>0</v>
      </c>
      <c r="L74" s="149"/>
      <c r="M74" s="166"/>
      <c r="O74" s="78"/>
      <c r="P74" s="79"/>
      <c r="Q74" s="149"/>
      <c r="R74" s="149"/>
      <c r="S74" s="78"/>
      <c r="T74" s="78"/>
    </row>
    <row r="75" spans="1:20" ht="18">
      <c r="A75" s="173">
        <f t="shared" si="4"/>
        <v>22</v>
      </c>
      <c r="B75" s="154"/>
      <c r="C75" s="154"/>
      <c r="D75" s="154"/>
      <c r="E75" s="154"/>
      <c r="F75" s="169">
        <f t="shared" si="0"/>
        <v>0</v>
      </c>
      <c r="H75" s="170">
        <f t="shared" si="5"/>
        <v>0</v>
      </c>
      <c r="I75" s="171">
        <f t="shared" si="1"/>
        <v>0</v>
      </c>
      <c r="J75" s="172">
        <f t="shared" si="2"/>
        <v>0</v>
      </c>
      <c r="K75" s="298">
        <f t="shared" si="3"/>
        <v>0</v>
      </c>
      <c r="L75" s="149"/>
      <c r="M75" s="166"/>
      <c r="Q75" s="78"/>
      <c r="R75" s="78"/>
      <c r="S75" s="78"/>
      <c r="T75" s="78"/>
    </row>
    <row r="76" spans="1:20" ht="18">
      <c r="A76" s="173">
        <f t="shared" si="4"/>
        <v>23</v>
      </c>
      <c r="B76" s="154"/>
      <c r="C76" s="154"/>
      <c r="D76" s="154"/>
      <c r="E76" s="154"/>
      <c r="F76" s="169">
        <f t="shared" si="0"/>
        <v>0</v>
      </c>
      <c r="H76" s="170">
        <f t="shared" si="5"/>
        <v>0</v>
      </c>
      <c r="I76" s="171">
        <f t="shared" si="1"/>
        <v>0</v>
      </c>
      <c r="J76" s="172">
        <f t="shared" si="2"/>
        <v>0</v>
      </c>
      <c r="K76" s="298">
        <f t="shared" si="3"/>
        <v>0</v>
      </c>
      <c r="L76" s="149"/>
      <c r="M76" s="166"/>
      <c r="Q76" s="78"/>
      <c r="R76" s="78"/>
      <c r="S76" s="78"/>
      <c r="T76" s="78"/>
    </row>
    <row r="77" spans="1:20" ht="18.75" thickBot="1">
      <c r="A77" s="173">
        <f t="shared" si="4"/>
        <v>24</v>
      </c>
      <c r="B77" s="154"/>
      <c r="C77" s="154"/>
      <c r="D77" s="154"/>
      <c r="E77" s="154"/>
      <c r="F77" s="169">
        <f t="shared" si="0"/>
        <v>0</v>
      </c>
      <c r="H77" s="170">
        <f t="shared" si="5"/>
        <v>0</v>
      </c>
      <c r="I77" s="171">
        <f t="shared" si="1"/>
        <v>0</v>
      </c>
      <c r="J77" s="172">
        <f t="shared" si="2"/>
        <v>0</v>
      </c>
      <c r="K77" s="298">
        <f t="shared" si="3"/>
        <v>0</v>
      </c>
      <c r="L77" s="149"/>
      <c r="M77" s="166"/>
      <c r="O77" s="78"/>
      <c r="P77" s="78"/>
      <c r="Q77" s="78"/>
      <c r="R77" s="78"/>
      <c r="S77" s="78"/>
      <c r="T77" s="78"/>
    </row>
    <row r="78" spans="1:20" ht="24" customHeight="1">
      <c r="A78" s="173">
        <f t="shared" si="4"/>
        <v>25</v>
      </c>
      <c r="B78" s="154"/>
      <c r="C78" s="154"/>
      <c r="D78" s="154"/>
      <c r="E78" s="154"/>
      <c r="F78" s="169">
        <f t="shared" si="0"/>
        <v>0</v>
      </c>
      <c r="H78" s="170">
        <f t="shared" si="5"/>
        <v>0</v>
      </c>
      <c r="I78" s="171">
        <f t="shared" si="1"/>
        <v>0</v>
      </c>
      <c r="J78" s="172">
        <f t="shared" si="2"/>
        <v>0</v>
      </c>
      <c r="K78" s="298">
        <f t="shared" si="3"/>
        <v>0</v>
      </c>
      <c r="L78" s="149"/>
      <c r="M78" s="174"/>
      <c r="N78" s="843" t="s">
        <v>409</v>
      </c>
      <c r="O78" s="844"/>
      <c r="P78" s="844"/>
      <c r="Q78" s="845"/>
      <c r="R78"/>
      <c r="S78" s="78"/>
      <c r="T78" s="78"/>
    </row>
    <row r="79" spans="1:18" ht="22.5" customHeight="1" thickBot="1">
      <c r="A79" s="173">
        <f t="shared" si="4"/>
        <v>26</v>
      </c>
      <c r="B79" s="154"/>
      <c r="C79" s="154"/>
      <c r="D79" s="154"/>
      <c r="E79" s="154"/>
      <c r="F79" s="169">
        <f t="shared" si="0"/>
        <v>0</v>
      </c>
      <c r="H79" s="170">
        <f t="shared" si="5"/>
        <v>0</v>
      </c>
      <c r="I79" s="171">
        <f t="shared" si="1"/>
        <v>0</v>
      </c>
      <c r="J79" s="172">
        <f t="shared" si="2"/>
        <v>0</v>
      </c>
      <c r="K79" s="298">
        <f t="shared" si="3"/>
        <v>0</v>
      </c>
      <c r="L79" s="302" t="s">
        <v>304</v>
      </c>
      <c r="M79" s="292" t="s">
        <v>310</v>
      </c>
      <c r="N79" s="846"/>
      <c r="O79" s="847"/>
      <c r="P79" s="847"/>
      <c r="Q79" s="848"/>
      <c r="R79"/>
    </row>
    <row r="80" spans="1:20" ht="21.75" thickBot="1" thickTop="1">
      <c r="A80" s="78"/>
      <c r="B80" s="175">
        <f>SUM(B54:B79)</f>
        <v>30</v>
      </c>
      <c r="C80" s="175">
        <f>SUM(C54:C79)</f>
        <v>0</v>
      </c>
      <c r="D80" s="175">
        <f>MAX(D54:D79)</f>
        <v>2</v>
      </c>
      <c r="E80" s="78"/>
      <c r="F80" s="78"/>
      <c r="H80" s="138">
        <f>SUM(H54:H79)</f>
        <v>127.4</v>
      </c>
      <c r="I80" s="139">
        <f>SUM(I54:I79)</f>
        <v>0</v>
      </c>
      <c r="J80" s="140">
        <f>SUM(J54:J79)</f>
        <v>0</v>
      </c>
      <c r="K80" s="141">
        <f>SUM(K54:K79)</f>
        <v>7.2</v>
      </c>
      <c r="L80" s="300">
        <f>+D80*Q28</f>
        <v>0</v>
      </c>
      <c r="M80" s="357">
        <f>+Q42*(1+A82)</f>
        <v>8</v>
      </c>
      <c r="N80" s="860">
        <f>SUM(H80:M80)</f>
        <v>142.6</v>
      </c>
      <c r="O80" s="861"/>
      <c r="P80" s="869" t="s">
        <v>23</v>
      </c>
      <c r="Q80" s="870"/>
      <c r="R80" s="78"/>
      <c r="S80" s="78"/>
      <c r="T80" s="78"/>
    </row>
    <row r="81" spans="1:20" ht="21" thickBot="1">
      <c r="A81" s="856" t="s">
        <v>305</v>
      </c>
      <c r="B81" s="857"/>
      <c r="C81" s="857"/>
      <c r="D81" s="857"/>
      <c r="E81" s="857"/>
      <c r="F81" s="858"/>
      <c r="G81" s="78"/>
      <c r="I81" s="122"/>
      <c r="J81" s="122"/>
      <c r="K81" s="122"/>
      <c r="L81" s="122"/>
      <c r="M81" s="122"/>
      <c r="N81" s="862">
        <f>+N80/60</f>
        <v>2.3766666666666665</v>
      </c>
      <c r="O81" s="863"/>
      <c r="P81" s="867" t="s">
        <v>31</v>
      </c>
      <c r="Q81" s="868"/>
      <c r="R81" s="78"/>
      <c r="S81" s="78"/>
      <c r="T81" s="78"/>
    </row>
    <row r="82" spans="1:22" ht="21" thickBot="1">
      <c r="A82" s="825">
        <v>0</v>
      </c>
      <c r="B82" s="826"/>
      <c r="C82" s="826"/>
      <c r="D82" s="826"/>
      <c r="E82" s="826"/>
      <c r="F82" s="82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</row>
    <row r="83" spans="1:22" ht="30" customHeight="1" thickBot="1">
      <c r="A83" s="78"/>
      <c r="B83" s="78"/>
      <c r="C83" s="78"/>
      <c r="D83" s="78"/>
      <c r="E83" s="78"/>
      <c r="F83" s="78"/>
      <c r="G83" s="78"/>
      <c r="H83" s="78"/>
      <c r="I83" s="828" t="s">
        <v>108</v>
      </c>
      <c r="J83" s="829"/>
      <c r="K83" s="829"/>
      <c r="L83" s="829"/>
      <c r="M83" s="829"/>
      <c r="N83" s="236"/>
      <c r="O83" s="576">
        <f>ROUNDUP(B80/N80*60,1)</f>
        <v>12.7</v>
      </c>
      <c r="P83" s="237" t="s">
        <v>262</v>
      </c>
      <c r="Q83" s="238"/>
      <c r="R83" s="238"/>
      <c r="U83" s="78"/>
      <c r="V83" s="78"/>
    </row>
    <row r="84" spans="1:22" ht="18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</row>
    <row r="85" spans="1:22" ht="20.25">
      <c r="A85" s="78"/>
      <c r="B85" s="78"/>
      <c r="C85" s="78"/>
      <c r="D85" s="78"/>
      <c r="E85" s="78"/>
      <c r="F85" s="78"/>
      <c r="G85" s="78"/>
      <c r="H85" s="78"/>
      <c r="I85"/>
      <c r="J85"/>
      <c r="K85"/>
      <c r="L85"/>
      <c r="M85"/>
      <c r="N85"/>
      <c r="O85" s="239">
        <f>+O83*3.28</f>
        <v>41.65599999999999</v>
      </c>
      <c r="P85" s="237" t="s">
        <v>312</v>
      </c>
      <c r="Q85" s="78"/>
      <c r="R85" s="78"/>
      <c r="S85" s="78"/>
      <c r="T85" s="78"/>
      <c r="U85" s="78"/>
      <c r="V85" s="78"/>
    </row>
    <row r="86" spans="1:52" ht="18">
      <c r="A86" s="78"/>
      <c r="B86" s="78"/>
      <c r="C86" s="78"/>
      <c r="D86" s="78"/>
      <c r="E86" s="78"/>
      <c r="F86" s="78"/>
      <c r="G86" s="78"/>
      <c r="H86" s="78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1:52" ht="18">
      <c r="A87" s="78"/>
      <c r="B87" s="78"/>
      <c r="C87" s="78"/>
      <c r="D87" s="78"/>
      <c r="E87" s="78"/>
      <c r="F87" s="78"/>
      <c r="G87" s="78"/>
      <c r="H87" s="78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</row>
    <row r="88" spans="1:52" ht="18">
      <c r="A88" s="78"/>
      <c r="B88" s="78"/>
      <c r="C88" s="78"/>
      <c r="D88" s="78"/>
      <c r="E88" s="78"/>
      <c r="F88" s="78"/>
      <c r="G88" s="78"/>
      <c r="H88" s="7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1:22" ht="18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</row>
    <row r="90" spans="1:22" ht="18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</row>
    <row r="91" spans="1:22" ht="18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</row>
    <row r="92" spans="1:22" ht="18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</row>
    <row r="93" spans="1:22" ht="18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</row>
    <row r="94" spans="1:22" ht="18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</row>
    <row r="95" spans="1:22" ht="18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</row>
    <row r="96" spans="1:22" ht="18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</row>
    <row r="97" spans="1:22" ht="18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</row>
  </sheetData>
  <mergeCells count="45">
    <mergeCell ref="B12:F12"/>
    <mergeCell ref="B28:F28"/>
    <mergeCell ref="B14:F14"/>
    <mergeCell ref="L8:O8"/>
    <mergeCell ref="B9:F9"/>
    <mergeCell ref="L9:O9"/>
    <mergeCell ref="B8:F8"/>
    <mergeCell ref="B10:F10"/>
    <mergeCell ref="L10:O10"/>
    <mergeCell ref="B11:F11"/>
    <mergeCell ref="L11:O11"/>
    <mergeCell ref="K19:P19"/>
    <mergeCell ref="K25:P25"/>
    <mergeCell ref="K26:P26"/>
    <mergeCell ref="K27:P27"/>
    <mergeCell ref="B13:F13"/>
    <mergeCell ref="B15:F15"/>
    <mergeCell ref="K17:P17"/>
    <mergeCell ref="K18:P18"/>
    <mergeCell ref="B29:F29"/>
    <mergeCell ref="B30:F30"/>
    <mergeCell ref="B31:F31"/>
    <mergeCell ref="B32:F32"/>
    <mergeCell ref="B33:F33"/>
    <mergeCell ref="K33:P33"/>
    <mergeCell ref="K34:P34"/>
    <mergeCell ref="K35:P35"/>
    <mergeCell ref="K36:P36"/>
    <mergeCell ref="K37:P37"/>
    <mergeCell ref="K38:P38"/>
    <mergeCell ref="K39:P39"/>
    <mergeCell ref="K40:P40"/>
    <mergeCell ref="A81:F81"/>
    <mergeCell ref="A82:F82"/>
    <mergeCell ref="I83:M83"/>
    <mergeCell ref="K41:P41"/>
    <mergeCell ref="E49:G49"/>
    <mergeCell ref="H52:J52"/>
    <mergeCell ref="E50:G50"/>
    <mergeCell ref="N78:Q79"/>
    <mergeCell ref="P80:Q80"/>
    <mergeCell ref="P81:Q81"/>
    <mergeCell ref="N81:O81"/>
    <mergeCell ref="N80:O80"/>
    <mergeCell ref="K52:M52"/>
  </mergeCells>
  <printOptions/>
  <pageMargins left="0.75" right="0.75" top="1" bottom="1" header="0.4921259845" footer="0.4921259845"/>
  <pageSetup cellComments="asDisplayed" horizontalDpi="600" verticalDpi="600" orientation="landscape" scale="45" r:id="rId3"/>
  <headerFooter alignWithMargins="0">
    <oddFooter>&amp;LFile:  &amp;F
Sheet:  &amp;A
Page &amp;P of &amp;N&amp;CExperimental Mine
Val-d'Or&amp;R&amp;D
&amp;T</oddFooter>
  </headerFooter>
  <rowBreaks count="1" manualBreakCount="1">
    <brk id="45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H26" sqref="H26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fitToHeight="1" fitToWidth="1" horizontalDpi="600" verticalDpi="600" orientation="portrait" scale="88" r:id="rId2"/>
  <headerFooter alignWithMargins="0">
    <oddFooter>&amp;LFile:  &amp;F
Sheet:  &amp;A
Page &amp;P of &amp;N&amp;CExperimental Mine
 Val-d'Or&amp;R&amp;D
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NRCan/RNCan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Canmet-MMSL</dc:creator>
  <cp:keywords/>
  <dc:description/>
  <cp:lastModifiedBy>Roger Lacroix</cp:lastModifiedBy>
  <cp:lastPrinted>2002-05-09T14:45:42Z</cp:lastPrinted>
  <dcterms:created xsi:type="dcterms:W3CDTF">2000-05-03T18:12:35Z</dcterms:created>
  <dcterms:modified xsi:type="dcterms:W3CDTF">2004-04-07T15:46:01Z</dcterms:modified>
  <cp:category/>
  <cp:version/>
  <cp:contentType/>
  <cp:contentStatus/>
</cp:coreProperties>
</file>