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80" windowHeight="3075" activeTab="0"/>
  </bookViews>
  <sheets>
    <sheet name="Track drift" sheetId="1" r:id="rId1"/>
    <sheet name="Costs per meter" sheetId="2" r:id="rId2"/>
  </sheets>
  <definedNames>
    <definedName name="_xlnm.Print_Area" localSheetId="0">'Track drift'!$A$5:$K$259</definedName>
    <definedName name="_xlnm.Print_Titles" localSheetId="0">'Track drift'!$1:$4</definedName>
    <definedName name="Z_8BBB75D6_931B_11D4_9750_00B0D01AB7C9_.wvu.PrintArea" localSheetId="0" hidden="1">'Track drift'!$A$5:$K$259</definedName>
    <definedName name="Z_8BBB75D6_931B_11D4_9750_00B0D01AB7C9_.wvu.PrintTitles" localSheetId="0" hidden="1">'Track drift'!$1:$4</definedName>
  </definedNames>
  <calcPr fullCalcOnLoad="1"/>
</workbook>
</file>

<file path=xl/comments1.xml><?xml version="1.0" encoding="utf-8"?>
<comments xmlns="http://schemas.openxmlformats.org/spreadsheetml/2006/main">
  <authors>
    <author>Canmet-MMSL</author>
    <author>rolacroi</author>
  </authors>
  <commentList>
    <comment ref="B112" authorId="0">
      <text>
        <r>
          <rPr>
            <b/>
            <sz val="10"/>
            <rFont val="Tahoma"/>
            <family val="2"/>
          </rPr>
          <t>see"FACE CLEANING_RAILS"</t>
        </r>
        <r>
          <rPr>
            <b/>
            <sz val="10"/>
            <color indexed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file</t>
        </r>
      </text>
    </comment>
    <comment ref="B118" authorId="1">
      <text>
        <r>
          <rPr>
            <b/>
            <sz val="11"/>
            <rFont val="Tahoma"/>
            <family val="2"/>
          </rPr>
          <t xml:space="preserve">Time required to scale one meter (the roof and the two walls) and to clean the bootlegs
</t>
        </r>
      </text>
    </comment>
    <comment ref="C195" authorId="1">
      <text>
        <r>
          <rPr>
            <b/>
            <sz val="8"/>
            <rFont val="Tahoma"/>
            <family val="0"/>
          </rPr>
          <t>NOT PROPORTIONAL TO THE NUMBER OF MEN INSIDE THE DRIFT</t>
        </r>
      </text>
    </comment>
    <comment ref="C232" authorId="1">
      <text>
        <r>
          <rPr>
            <b/>
            <sz val="8"/>
            <rFont val="Tahoma"/>
            <family val="0"/>
          </rPr>
          <t>NOT PROPORTIONAL TO THE NUMBER OF MEN INSIDE THE DRIFT</t>
        </r>
      </text>
    </comment>
    <comment ref="E112" authorId="0">
      <text>
        <r>
          <rPr>
            <b/>
            <sz val="10"/>
            <rFont val="Tahoma"/>
            <family val="2"/>
          </rPr>
          <t>see "FACE CLEANING_RAILS" file</t>
        </r>
      </text>
    </comment>
  </commentList>
</comments>
</file>

<file path=xl/comments2.xml><?xml version="1.0" encoding="utf-8"?>
<comments xmlns="http://schemas.openxmlformats.org/spreadsheetml/2006/main">
  <authors>
    <author>rolacroi</author>
  </authors>
  <commentList>
    <comment ref="F26" authorId="0">
      <text>
        <r>
          <rPr>
            <b/>
            <sz val="8"/>
            <rFont val="Tahoma"/>
            <family val="0"/>
          </rPr>
          <t>Enter the global support cost if details are not available</t>
        </r>
      </text>
    </comment>
    <comment ref="I26" authorId="0">
      <text>
        <r>
          <rPr>
            <b/>
            <sz val="8"/>
            <rFont val="Tahoma"/>
            <family val="0"/>
          </rPr>
          <t>Enter the global support cost if details are not available</t>
        </r>
      </text>
    </comment>
    <comment ref="F37" authorId="0">
      <text>
        <r>
          <rPr>
            <b/>
            <sz val="8"/>
            <rFont val="Tahoma"/>
            <family val="0"/>
          </rPr>
          <t>Enter the global track cost if details are not available</t>
        </r>
      </text>
    </comment>
    <comment ref="I37" authorId="0">
      <text>
        <r>
          <rPr>
            <b/>
            <sz val="8"/>
            <rFont val="Tahoma"/>
            <family val="0"/>
          </rPr>
          <t>Enter the global track cost if details are not available</t>
        </r>
      </text>
    </comment>
  </commentList>
</comments>
</file>

<file path=xl/sharedStrings.xml><?xml version="1.0" encoding="utf-8"?>
<sst xmlns="http://schemas.openxmlformats.org/spreadsheetml/2006/main" count="427" uniqueCount="304">
  <si>
    <t>Lunch</t>
  </si>
  <si>
    <t>tonnes</t>
  </si>
  <si>
    <t>SUPPORT</t>
  </si>
  <si>
    <t>VENTILATION</t>
  </si>
  <si>
    <t>NOTES</t>
  </si>
  <si>
    <t xml:space="preserve">Ventilation </t>
  </si>
  <si>
    <t xml:space="preserve"> +</t>
  </si>
  <si>
    <t xml:space="preserve"> =</t>
  </si>
  <si>
    <t>+</t>
  </si>
  <si>
    <t>=</t>
  </si>
  <si>
    <t>TOTAL</t>
  </si>
  <si>
    <t xml:space="preserve">4.1 - Dimensions </t>
  </si>
  <si>
    <t>minutes</t>
  </si>
  <si>
    <t xml:space="preserve"> &lt;=&gt;</t>
  </si>
  <si>
    <t>-</t>
  </si>
  <si>
    <t xml:space="preserve"> /</t>
  </si>
  <si>
    <t>total</t>
  </si>
  <si>
    <t xml:space="preserve"> x</t>
  </si>
  <si>
    <t>SERVICES</t>
  </si>
  <si>
    <t xml:space="preserve"> - supervision</t>
  </si>
  <si>
    <t>Supervision</t>
  </si>
  <si>
    <t>Productivity</t>
  </si>
  <si>
    <t>1.0 - DIRECT FIXED ACTIVITIES PER SHIFT (outside the drift)</t>
  </si>
  <si>
    <t>Frequency or Units</t>
  </si>
  <si>
    <t>Total Time               (min)</t>
  </si>
  <si>
    <t>Cage (at beginning and end of shift)</t>
  </si>
  <si>
    <t>Travelling (shaft - refuge station - shaft)</t>
  </si>
  <si>
    <t>Other travelling delays</t>
  </si>
  <si>
    <t>Work planning</t>
  </si>
  <si>
    <t>Complete daily reports</t>
  </si>
  <si>
    <t>hours/shift</t>
  </si>
  <si>
    <t>RELATED TO GROUND</t>
  </si>
  <si>
    <t>RELATED TO TRACK</t>
  </si>
  <si>
    <t>INSTALLATION</t>
  </si>
  <si>
    <t>Clean the face</t>
  </si>
  <si>
    <t>Clean the ditch</t>
  </si>
  <si>
    <t>Bring equipment and material</t>
  </si>
  <si>
    <t>Clean and store equipment</t>
  </si>
  <si>
    <t>minutes/mucking preparation</t>
  </si>
  <si>
    <t>hours/mucking preparation</t>
  </si>
  <si>
    <t>minutes/setup</t>
  </si>
  <si>
    <t>hours/setup</t>
  </si>
  <si>
    <t>minutes/track installation</t>
  </si>
  <si>
    <t>RELATED TO BLASTING</t>
  </si>
  <si>
    <t>Bring explosives</t>
  </si>
  <si>
    <t>Connect the blast</t>
  </si>
  <si>
    <t>Store equipment and explosives</t>
  </si>
  <si>
    <t>Access verification</t>
  </si>
  <si>
    <t>Extra scaling</t>
  </si>
  <si>
    <t>minutes/blast</t>
  </si>
  <si>
    <t>hours/blast</t>
  </si>
  <si>
    <t>RELATED TO DRILLING</t>
  </si>
  <si>
    <t>Clean the face to drill lifter holes</t>
  </si>
  <si>
    <t>RELATED TO</t>
  </si>
  <si>
    <t>Bring material</t>
  </si>
  <si>
    <t>Install pipes (water and air)</t>
  </si>
  <si>
    <t>Store material</t>
  </si>
  <si>
    <t>Check services (water and air)</t>
  </si>
  <si>
    <t>hours</t>
  </si>
  <si>
    <t>Geologists</t>
  </si>
  <si>
    <t>Surveyors</t>
  </si>
  <si>
    <t>Mechanics and electricians</t>
  </si>
  <si>
    <t>Round</t>
  </si>
  <si>
    <t>parameters</t>
  </si>
  <si>
    <t>Drift</t>
  </si>
  <si>
    <t>ore density (t/m³)</t>
  </si>
  <si>
    <t>4.3 - Scaling</t>
  </si>
  <si>
    <t>Total average time to drill a 1.2-m hole (min)</t>
  </si>
  <si>
    <t>GROUND SUPPORT PARAMETERS</t>
  </si>
  <si>
    <t>Drilled length/bolt</t>
  </si>
  <si>
    <t>Number of bolts/1.2 m advanced</t>
  </si>
  <si>
    <t>4.4 - Ground Support</t>
  </si>
  <si>
    <t>total hours</t>
  </si>
  <si>
    <t>Install track</t>
  </si>
  <si>
    <t>feet</t>
  </si>
  <si>
    <t>meters</t>
  </si>
  <si>
    <t>Average drilling rate</t>
  </si>
  <si>
    <t>(drilled meters per hour/man/drill)</t>
  </si>
  <si>
    <t>DRILLING PARAMETERS (advance)</t>
  </si>
  <si>
    <t>Time required to drill a 1.2-m hole (min)</t>
  </si>
  <si>
    <t>Total average time to drill a 2.4-m hole (min)</t>
  </si>
  <si>
    <t>BLASTING PARAMETERS</t>
  </si>
  <si>
    <t>Number of blasts (drift)</t>
  </si>
  <si>
    <t>average time/         hole (min)</t>
  </si>
  <si>
    <t>holes/blast</t>
  </si>
  <si>
    <t>Clean and load holes</t>
  </si>
  <si>
    <t>Required explosives (kg)</t>
  </si>
  <si>
    <t xml:space="preserve"> (To use when blasting causes a delay during the shift or when the work schedule is 24 hours a day)</t>
  </si>
  <si>
    <t>minutes required</t>
  </si>
  <si>
    <t xml:space="preserve"> /blast</t>
  </si>
  <si>
    <t>DIRECT ACTIVITIES</t>
  </si>
  <si>
    <t>PER ADVANCE</t>
  </si>
  <si>
    <t>DIRECT FIXED             (hours)</t>
  </si>
  <si>
    <t>DIRECT VARIABLE     (hours)</t>
  </si>
  <si>
    <t>MUCKING</t>
  </si>
  <si>
    <t>SCALING</t>
  </si>
  <si>
    <t>TRACK</t>
  </si>
  <si>
    <t>DRILLING</t>
  </si>
  <si>
    <t>BLASTING</t>
  </si>
  <si>
    <t>OTHERS</t>
  </si>
  <si>
    <t>contingency (ventilation included)</t>
  </si>
  <si>
    <t>NUMBER OF HOURS PER SHIFT</t>
  </si>
  <si>
    <t>ONLY DIRECT VARIABLE ACTIVITIES ARE INFLUENCED BY THE NUMBER OF MEN.</t>
  </si>
  <si>
    <t>THEREFORE, ACCORDING TO THE NUMBER OF MEN ENTERED, WE OBTAIN:</t>
  </si>
  <si>
    <t>DIRECT VARIABLE    (hours) *</t>
  </si>
  <si>
    <t>In this section, you can optimize your operating parameters to simulate your operation or to find</t>
  </si>
  <si>
    <t>Number of hours per shift</t>
  </si>
  <si>
    <t>Direct fixed time outside the drift/shift</t>
  </si>
  <si>
    <t>Available time inside the drift/shift</t>
  </si>
  <si>
    <t>Possible number of advances per shift</t>
  </si>
  <si>
    <t>6.0 - DRIFT COMPILATION</t>
  </si>
  <si>
    <t>DIRECT VARIABLE     (hours) *</t>
  </si>
  <si>
    <t>with a contingency of</t>
  </si>
  <si>
    <t>total manshifts required</t>
  </si>
  <si>
    <t>required manshifts from direct fixed activities (outside the drift)</t>
  </si>
  <si>
    <t>with a performance of</t>
  </si>
  <si>
    <t xml:space="preserve">From your best estimate, you can maintain  </t>
  </si>
  <si>
    <t>NUMBER OF SHIFTS/MONTH</t>
  </si>
  <si>
    <t>meters advanced/month</t>
  </si>
  <si>
    <t>tonnes/month</t>
  </si>
  <si>
    <t>MANSHIFTS</t>
  </si>
  <si>
    <t>INSIDE THE DRIFT</t>
  </si>
  <si>
    <t>OUTSIDE DRIFT</t>
  </si>
  <si>
    <t>PRODUCTIVE</t>
  </si>
  <si>
    <t>CONTINGENCY</t>
  </si>
  <si>
    <t xml:space="preserve">FIXED </t>
  </si>
  <si>
    <t>PRODUCTIVITY</t>
  </si>
  <si>
    <t>tonnes/manshift</t>
  </si>
  <si>
    <t>meter/manshift</t>
  </si>
  <si>
    <t>Calculation of required manhifts with contingency</t>
  </si>
  <si>
    <t>Calculation of number of shifts according to schedule</t>
  </si>
  <si>
    <t>Calculation of number of shifts of direct fixed activities</t>
  </si>
  <si>
    <t>Required manhours</t>
  </si>
  <si>
    <t>Hours/shift</t>
  </si>
  <si>
    <t>Required manshifts</t>
  </si>
  <si>
    <t>Contingency</t>
  </si>
  <si>
    <t>with contingency</t>
  </si>
  <si>
    <t>Calculation of total number of required manshifts</t>
  </si>
  <si>
    <t xml:space="preserve">Total number of required shifts </t>
  </si>
  <si>
    <t>Men</t>
  </si>
  <si>
    <t xml:space="preserve">Required manshifts </t>
  </si>
  <si>
    <t>Required manshifts with contingency</t>
  </si>
  <si>
    <t>Number of required shifts (schedule)</t>
  </si>
  <si>
    <t>Direct fixed hours/shift</t>
  </si>
  <si>
    <t>Reference case</t>
  </si>
  <si>
    <t>Your case</t>
  </si>
  <si>
    <t>1 - Labour</t>
  </si>
  <si>
    <t>Hourly rate:</t>
  </si>
  <si>
    <t xml:space="preserve">2 - Material </t>
  </si>
  <si>
    <t>steel rods, bits, hoses, lubricants</t>
  </si>
  <si>
    <t>screen</t>
  </si>
  <si>
    <t>cables and ciment</t>
  </si>
  <si>
    <t>shotcrete</t>
  </si>
  <si>
    <t>ties</t>
  </si>
  <si>
    <t>switch</t>
  </si>
  <si>
    <t>crushed stone</t>
  </si>
  <si>
    <t>others</t>
  </si>
  <si>
    <t xml:space="preserve"> - supply of compressed air and electricity</t>
  </si>
  <si>
    <t xml:space="preserve"> - general level maintenance</t>
  </si>
  <si>
    <t xml:space="preserve">with a LM56 mucking machine </t>
  </si>
  <si>
    <t>Back and forth to drift</t>
  </si>
  <si>
    <t>2.0 - DIRECT FIXED ACTIVITIES PER STEP (inside the drift)</t>
  </si>
  <si>
    <t>RELATED TO MUCKING</t>
  </si>
  <si>
    <t>PREPARATION</t>
  </si>
  <si>
    <t>Check locomotive and cars</t>
  </si>
  <si>
    <t>2.0 - (cont'd) DIRECT FIXED ACTIVITIES PER STEP (inside the drift)</t>
  </si>
  <si>
    <t>Install setup platform</t>
  </si>
  <si>
    <t>Remove setup platform</t>
  </si>
  <si>
    <t>3.0 - DIRECT FIXED ACTIVITIES FOR THE ENTIRE DRIFT</t>
  </si>
  <si>
    <t>RELATED TO MOBILIZATION</t>
  </si>
  <si>
    <t>AND DEMOBILIZATION</t>
  </si>
  <si>
    <t>4.0 - DIRECT VARIABLE ACTIVITIES PER STEP (inside the drift)</t>
  </si>
  <si>
    <t>4.2 - Mucking</t>
  </si>
  <si>
    <t>4.5 - Track</t>
  </si>
  <si>
    <t>4.6 - Drilling</t>
  </si>
  <si>
    <t>4.7 - Loading and Blasting</t>
  </si>
  <si>
    <t>5.0 - ROUND COMPILATION</t>
  </si>
  <si>
    <t>the required parameters to reach the desired performance.</t>
  </si>
  <si>
    <t>DIRECT ACTIVITIES PER DRIFT</t>
  </si>
  <si>
    <t>advance/shift</t>
  </si>
  <si>
    <t>TOTAL (DRIFT)</t>
  </si>
  <si>
    <t>REQUIRED MANHOURS</t>
  </si>
  <si>
    <t>REQUIRED MANSHIFTS</t>
  </si>
  <si>
    <t>REQUIRED NUMBER OF MEN</t>
  </si>
  <si>
    <t>manshift contingency</t>
  </si>
  <si>
    <t>required manshifts inside the drift</t>
  </si>
  <si>
    <t>Install ventilation ducts</t>
  </si>
  <si>
    <t>Install electric panel</t>
  </si>
  <si>
    <t>Other repairs</t>
  </si>
  <si>
    <r>
      <t>RELATED TO SWITCH</t>
    </r>
    <r>
      <rPr>
        <sz val="14"/>
        <rFont val="Arial"/>
        <family val="2"/>
      </rPr>
      <t xml:space="preserve"> (</t>
    </r>
    <r>
      <rPr>
        <sz val="12"/>
        <rFont val="Arial"/>
        <family val="2"/>
      </rPr>
      <t>only if a switch must be installed during the project)</t>
    </r>
  </si>
  <si>
    <t>Clean the floor</t>
  </si>
  <si>
    <t>Install switch</t>
  </si>
  <si>
    <t>Drilled length</t>
  </si>
  <si>
    <t>Broken length</t>
  </si>
  <si>
    <t>Height</t>
  </si>
  <si>
    <t>Width</t>
  </si>
  <si>
    <t>Tonnes</t>
  </si>
  <si>
    <t>Length</t>
  </si>
  <si>
    <t>Average width</t>
  </si>
  <si>
    <t>tonnes/hour</t>
  </si>
  <si>
    <t>Available hours inside the drift</t>
  </si>
  <si>
    <t>Mucking</t>
  </si>
  <si>
    <t>minutes/</t>
  </si>
  <si>
    <t>Wash, scale and clean bootlegs</t>
  </si>
  <si>
    <t>total hours                       (drift)</t>
  </si>
  <si>
    <t xml:space="preserve">Drilling for support </t>
  </si>
  <si>
    <t>installation time/bolt (min)</t>
  </si>
  <si>
    <t>Installation of ground support</t>
  </si>
  <si>
    <t>(screen included)</t>
  </si>
  <si>
    <t>Roof pattern</t>
  </si>
  <si>
    <t>Hanging wall pattern</t>
  </si>
  <si>
    <t>Footwall pattern</t>
  </si>
  <si>
    <t>Installation of 2 rails of</t>
  </si>
  <si>
    <t>Remove side rails</t>
  </si>
  <si>
    <t>Install 6 ties</t>
  </si>
  <si>
    <t>Install 2 rails</t>
  </si>
  <si>
    <t>Install 2 fish plates</t>
  </si>
  <si>
    <t>Install 12 spikes</t>
  </si>
  <si>
    <t>linear m/hour</t>
  </si>
  <si>
    <t>Meters to drill</t>
  </si>
  <si>
    <t>Time required for drilling (hours)</t>
  </si>
  <si>
    <t>tonnes/drilled meter</t>
  </si>
  <si>
    <t>Explosive density (g/cc)</t>
  </si>
  <si>
    <t>Hole diameter (mm)</t>
  </si>
  <si>
    <r>
      <t>Powder factor                      per round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(kg/tonne)</t>
    </r>
  </si>
  <si>
    <t>TABLE OF REQUIRED HOURS PER ROUND</t>
  </si>
  <si>
    <t>Scheduled hours</t>
  </si>
  <si>
    <t>occupation rate of the shift per advance</t>
  </si>
  <si>
    <t>Monthly planning factors:</t>
  </si>
  <si>
    <t>Unit cost model for track drift</t>
  </si>
  <si>
    <t>$/hour</t>
  </si>
  <si>
    <t xml:space="preserve"> $/meter</t>
  </si>
  <si>
    <t>Explosives and accessories</t>
  </si>
  <si>
    <t>Support</t>
  </si>
  <si>
    <t>Split-Set</t>
  </si>
  <si>
    <t>Swellex</t>
  </si>
  <si>
    <t>rebars and resin</t>
  </si>
  <si>
    <t>total support</t>
  </si>
  <si>
    <t>Timber</t>
  </si>
  <si>
    <t>Track</t>
  </si>
  <si>
    <t>total track</t>
  </si>
  <si>
    <t>Pipes</t>
  </si>
  <si>
    <t>Ventilation</t>
  </si>
  <si>
    <t>Diesel and lubricants</t>
  </si>
  <si>
    <t>Other supplies</t>
  </si>
  <si>
    <t>mechanical</t>
  </si>
  <si>
    <t>electrical</t>
  </si>
  <si>
    <t>Total per meter</t>
  </si>
  <si>
    <t>Excluded costs</t>
  </si>
  <si>
    <t xml:space="preserve"> - equipment amortization</t>
  </si>
  <si>
    <t>The reference case is a 2.7 m by 2.7 m</t>
  </si>
  <si>
    <t>and 5-tonne cars.</t>
  </si>
  <si>
    <t>ditch</t>
  </si>
  <si>
    <t>rails, spikes, fish plates</t>
  </si>
  <si>
    <r>
      <t xml:space="preserve">Drilling </t>
    </r>
    <r>
      <rPr>
        <sz val="9"/>
        <rFont val="Arial"/>
        <family val="2"/>
      </rPr>
      <t>(jackleg drills and stoper)</t>
    </r>
  </si>
  <si>
    <t>mechanical rockbolts</t>
  </si>
  <si>
    <t xml:space="preserve"> - supply of drilling water</t>
  </si>
  <si>
    <t>m/manshift</t>
  </si>
  <si>
    <t>$/meter</t>
  </si>
  <si>
    <t>TRACK DRIFT</t>
  </si>
  <si>
    <t>Align and mark next round</t>
  </si>
  <si>
    <t>Time               (min)/Unit</t>
  </si>
  <si>
    <t>Prepare equipment and material</t>
  </si>
  <si>
    <t xml:space="preserve">4.8 - Ventilation </t>
  </si>
  <si>
    <t>5.1 - CALCULATION OF THE POSSIBLE NUMBER OF ADVANCES PER SHIFT ACCORDING TO ENTERED DATA:</t>
  </si>
  <si>
    <t>hours/track installation</t>
  </si>
  <si>
    <t>Prepare material</t>
  </si>
  <si>
    <t>Store equipment and material</t>
  </si>
  <si>
    <t>Bring and prepare material</t>
  </si>
  <si>
    <t>Repair and install ventilation</t>
  </si>
  <si>
    <t>Install ventilation</t>
  </si>
  <si>
    <t>OTHER ACTIVITIES</t>
  </si>
  <si>
    <t>PER DRIFT</t>
  </si>
  <si>
    <t>longitudinal meter</t>
  </si>
  <si>
    <t>Time required for repositioning, changing drilling steel and bits, etc. per hole of 1.2 m (min)</t>
  </si>
  <si>
    <t>Check the track clearance</t>
  </si>
  <si>
    <t>meters/hour</t>
  </si>
  <si>
    <t>Time required for repositioning, changing drilling steel and bits, etc. per hole of 2.4 m (min)</t>
  </si>
  <si>
    <t>Kg of explosives/meter</t>
  </si>
  <si>
    <t xml:space="preserve">  * The number of required hours is corrected according to the number of men entered in section 5.0.</t>
  </si>
  <si>
    <t>total time of direct fixed activities outside the drift</t>
  </si>
  <si>
    <t>total time required per advance</t>
  </si>
  <si>
    <t xml:space="preserve">which represents an occupation rate of the shift (contingency included) of  </t>
  </si>
  <si>
    <t xml:space="preserve">with a performance of </t>
  </si>
  <si>
    <t xml:space="preserve">Number of shifts of </t>
  </si>
  <si>
    <t>direct fixed activities (schedule)</t>
  </si>
  <si>
    <t>ENTER THE AVERAGE PERCENTAGE OF ADVANCES ACHIEVED ON A MONTHLY BASIS</t>
  </si>
  <si>
    <t>including basic salary, bonus, fringe benefits</t>
  </si>
  <si>
    <t>drift drilled with Long Tom and cleaned</t>
  </si>
  <si>
    <t>Track installation</t>
  </si>
  <si>
    <t xml:space="preserve">hours </t>
  </si>
  <si>
    <t>Drilled                      meters/m advanced</t>
  </si>
  <si>
    <t>total hours                (drift)</t>
  </si>
  <si>
    <t>allocated time for contingency</t>
  </si>
  <si>
    <t>total time required inside the drift (contingency included)</t>
  </si>
  <si>
    <t>DRILLING PARAMETERS (ground support)</t>
  </si>
  <si>
    <t>(evacuation of fumes)</t>
  </si>
  <si>
    <t>Remarks:</t>
  </si>
  <si>
    <t>drilled holes/round</t>
  </si>
  <si>
    <t>Align the track</t>
  </si>
  <si>
    <t># of rounds</t>
  </si>
  <si>
    <t>total:</t>
  </si>
  <si>
    <t>3 - Equipment maintenance</t>
  </si>
  <si>
    <t>Version:  Mai 14,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</si>
</sst>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"/>
    <numFmt numFmtId="167" formatCode="0.000000000"/>
    <numFmt numFmtId="168" formatCode="0.0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000"/>
    <numFmt numFmtId="175" formatCode="_(* #,##0.0_);_(* \(#,##0.0\);_(* &quot;-&quot;??_);_(@_)"/>
    <numFmt numFmtId="176" formatCode="0.0000000000000"/>
    <numFmt numFmtId="177" formatCode="0.000000000000"/>
  </numFmts>
  <fonts count="3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24"/>
      <name val="Arial Black"/>
      <family val="2"/>
    </font>
    <font>
      <b/>
      <sz val="8"/>
      <name val="Tahoma"/>
      <family val="0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u val="single"/>
      <sz val="16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sz val="10"/>
      <color indexed="10"/>
      <name val="Tahoma"/>
      <family val="2"/>
    </font>
    <font>
      <b/>
      <u val="single"/>
      <sz val="19"/>
      <name val="Arial"/>
      <family val="2"/>
    </font>
    <font>
      <b/>
      <sz val="20"/>
      <name val="Arial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4"/>
    </xf>
    <xf numFmtId="0" fontId="0" fillId="0" borderId="0" xfId="0" applyBorder="1" applyAlignment="1" quotePrefix="1">
      <alignment horizontal="center" wrapText="1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11" xfId="0" applyBorder="1" applyAlignment="1">
      <alignment horizontal="left"/>
    </xf>
    <xf numFmtId="165" fontId="0" fillId="2" borderId="1" xfId="0" applyNumberFormat="1" applyFill="1" applyBorder="1" applyAlignment="1">
      <alignment/>
    </xf>
    <xf numFmtId="0" fontId="8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10" fillId="2" borderId="1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0" fillId="2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2" borderId="16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10" fillId="2" borderId="0" xfId="0" applyNumberFormat="1" applyFont="1" applyFill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14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2" fontId="10" fillId="2" borderId="11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2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0" fontId="17" fillId="0" borderId="0" xfId="0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2" borderId="1" xfId="0" applyNumberFormat="1" applyFont="1" applyFill="1" applyBorder="1" applyAlignment="1">
      <alignment/>
    </xf>
    <xf numFmtId="1" fontId="2" fillId="2" borderId="16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right"/>
    </xf>
    <xf numFmtId="2" fontId="10" fillId="2" borderId="0" xfId="0" applyNumberFormat="1" applyFont="1" applyFill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 horizontal="center"/>
    </xf>
    <xf numFmtId="0" fontId="2" fillId="0" borderId="0" xfId="0" applyFont="1" applyBorder="1" applyAlignment="1">
      <alignment/>
    </xf>
    <xf numFmtId="2" fontId="0" fillId="2" borderId="26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10" fillId="2" borderId="27" xfId="0" applyNumberFormat="1" applyFont="1" applyFill="1" applyBorder="1" applyAlignment="1">
      <alignment horizontal="center"/>
    </xf>
    <xf numFmtId="0" fontId="0" fillId="0" borderId="28" xfId="0" applyBorder="1" applyAlignment="1">
      <alignment horizontal="left" indent="4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left" indent="2"/>
    </xf>
    <xf numFmtId="0" fontId="3" fillId="0" borderId="18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1" fillId="0" borderId="0" xfId="0" applyFont="1" applyAlignment="1">
      <alignment horizontal="left" indent="5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left" indent="2"/>
    </xf>
    <xf numFmtId="164" fontId="0" fillId="2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9" fontId="1" fillId="0" borderId="1" xfId="19" applyFont="1" applyFill="1" applyBorder="1" applyAlignment="1">
      <alignment horizontal="center"/>
    </xf>
    <xf numFmtId="165" fontId="2" fillId="2" borderId="29" xfId="0" applyNumberFormat="1" applyFont="1" applyFill="1" applyBorder="1" applyAlignment="1">
      <alignment horizontal="center"/>
    </xf>
    <xf numFmtId="165" fontId="2" fillId="2" borderId="30" xfId="0" applyNumberFormat="1" applyFont="1" applyFill="1" applyBorder="1" applyAlignment="1">
      <alignment horizontal="center"/>
    </xf>
    <xf numFmtId="165" fontId="2" fillId="2" borderId="31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/>
    </xf>
    <xf numFmtId="165" fontId="2" fillId="2" borderId="27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5" fontId="7" fillId="5" borderId="1" xfId="0" applyNumberFormat="1" applyFont="1" applyFill="1" applyBorder="1" applyAlignment="1">
      <alignment/>
    </xf>
    <xf numFmtId="2" fontId="7" fillId="5" borderId="1" xfId="0" applyNumberFormat="1" applyFont="1" applyFill="1" applyBorder="1" applyAlignment="1">
      <alignment/>
    </xf>
    <xf numFmtId="0" fontId="2" fillId="3" borderId="33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19" fillId="0" borderId="23" xfId="0" applyFont="1" applyBorder="1" applyAlignment="1">
      <alignment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2" fontId="0" fillId="6" borderId="9" xfId="0" applyNumberForma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/>
      <protection locked="0"/>
    </xf>
    <xf numFmtId="0" fontId="10" fillId="6" borderId="11" xfId="0" applyFont="1" applyFill="1" applyBorder="1" applyAlignment="1" applyProtection="1">
      <alignment/>
      <protection locked="0"/>
    </xf>
    <xf numFmtId="0" fontId="10" fillId="6" borderId="1" xfId="0" applyFont="1" applyFill="1" applyBorder="1" applyAlignment="1" applyProtection="1">
      <alignment/>
      <protection locked="0"/>
    </xf>
    <xf numFmtId="0" fontId="10" fillId="6" borderId="0" xfId="0" applyFont="1" applyFill="1" applyAlignment="1" applyProtection="1">
      <alignment horizontal="left" indent="2"/>
      <protection locked="0"/>
    </xf>
    <xf numFmtId="0" fontId="10" fillId="6" borderId="0" xfId="0" applyFont="1" applyFill="1" applyBorder="1" applyAlignment="1" applyProtection="1">
      <alignment horizontal="left" indent="2"/>
      <protection locked="0"/>
    </xf>
    <xf numFmtId="0" fontId="10" fillId="6" borderId="0" xfId="0" applyFont="1" applyFill="1" applyBorder="1" applyAlignment="1" applyProtection="1">
      <alignment/>
      <protection locked="0"/>
    </xf>
    <xf numFmtId="0" fontId="10" fillId="6" borderId="0" xfId="0" applyFont="1" applyFill="1" applyAlignment="1">
      <alignment horizontal="left" indent="2"/>
    </xf>
    <xf numFmtId="0" fontId="10" fillId="6" borderId="11" xfId="0" applyFont="1" applyFill="1" applyBorder="1" applyAlignment="1" applyProtection="1">
      <alignment horizontal="center"/>
      <protection locked="0"/>
    </xf>
    <xf numFmtId="2" fontId="10" fillId="6" borderId="11" xfId="0" applyNumberFormat="1" applyFont="1" applyFill="1" applyBorder="1" applyAlignment="1" applyProtection="1">
      <alignment horizontal="center"/>
      <protection locked="0"/>
    </xf>
    <xf numFmtId="1" fontId="0" fillId="6" borderId="9" xfId="0" applyNumberForma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/>
      <protection locked="0"/>
    </xf>
    <xf numFmtId="2" fontId="1" fillId="6" borderId="35" xfId="0" applyNumberFormat="1" applyFont="1" applyFill="1" applyBorder="1" applyAlignment="1" applyProtection="1">
      <alignment horizontal="center"/>
      <protection locked="0"/>
    </xf>
    <xf numFmtId="9" fontId="0" fillId="0" borderId="13" xfId="19" applyBorder="1" applyAlignment="1">
      <alignment horizontal="center"/>
    </xf>
    <xf numFmtId="9" fontId="0" fillId="0" borderId="18" xfId="19" applyBorder="1" applyAlignment="1">
      <alignment horizontal="center"/>
    </xf>
    <xf numFmtId="9" fontId="0" fillId="0" borderId="3" xfId="19" applyBorder="1" applyAlignment="1">
      <alignment horizontal="center"/>
    </xf>
    <xf numFmtId="175" fontId="0" fillId="2" borderId="1" xfId="15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165" fontId="0" fillId="6" borderId="1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0" borderId="36" xfId="0" applyBorder="1" applyAlignment="1">
      <alignment/>
    </xf>
    <xf numFmtId="0" fontId="2" fillId="0" borderId="0" xfId="0" applyFont="1" applyAlignment="1">
      <alignment horizontal="right"/>
    </xf>
    <xf numFmtId="165" fontId="0" fillId="6" borderId="34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3" xfId="0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37" xfId="0" applyBorder="1" applyAlignment="1">
      <alignment/>
    </xf>
    <xf numFmtId="2" fontId="7" fillId="2" borderId="1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1" fillId="6" borderId="16" xfId="19" applyFon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1" fontId="1" fillId="2" borderId="16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40" xfId="0" applyBorder="1" applyAlignment="1">
      <alignment/>
    </xf>
    <xf numFmtId="0" fontId="10" fillId="0" borderId="0" xfId="0" applyFont="1" applyAlignment="1">
      <alignment horizontal="left" indent="1"/>
    </xf>
    <xf numFmtId="0" fontId="0" fillId="0" borderId="41" xfId="0" applyBorder="1" applyAlignment="1">
      <alignment/>
    </xf>
    <xf numFmtId="0" fontId="24" fillId="0" borderId="0" xfId="0" applyFont="1" applyAlignment="1">
      <alignment horizontal="left" indent="3"/>
    </xf>
    <xf numFmtId="44" fontId="0" fillId="2" borderId="16" xfId="17" applyFill="1" applyBorder="1" applyAlignment="1">
      <alignment/>
    </xf>
    <xf numFmtId="44" fontId="0" fillId="0" borderId="0" xfId="17" applyBorder="1" applyAlignment="1">
      <alignment/>
    </xf>
    <xf numFmtId="0" fontId="6" fillId="0" borderId="0" xfId="0" applyFont="1" applyAlignment="1">
      <alignment horizontal="left" indent="1"/>
    </xf>
    <xf numFmtId="44" fontId="0" fillId="0" borderId="0" xfId="17" applyAlignment="1">
      <alignment/>
    </xf>
    <xf numFmtId="44" fontId="0" fillId="2" borderId="1" xfId="17" applyFill="1" applyBorder="1" applyAlignment="1">
      <alignment/>
    </xf>
    <xf numFmtId="44" fontId="0" fillId="2" borderId="42" xfId="17" applyFill="1" applyBorder="1" applyAlignment="1">
      <alignment/>
    </xf>
    <xf numFmtId="0" fontId="0" fillId="6" borderId="0" xfId="0" applyFill="1" applyAlignment="1">
      <alignment/>
    </xf>
    <xf numFmtId="0" fontId="6" fillId="0" borderId="18" xfId="0" applyFont="1" applyBorder="1" applyAlignment="1">
      <alignment/>
    </xf>
    <xf numFmtId="44" fontId="0" fillId="0" borderId="18" xfId="17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Alignment="1">
      <alignment/>
    </xf>
    <xf numFmtId="44" fontId="6" fillId="2" borderId="16" xfId="17" applyFont="1" applyFill="1" applyBorder="1" applyAlignment="1">
      <alignment/>
    </xf>
    <xf numFmtId="0" fontId="6" fillId="0" borderId="4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9" xfId="0" applyBorder="1" applyAlignment="1">
      <alignment horizontal="left" indent="1"/>
    </xf>
    <xf numFmtId="44" fontId="0" fillId="6" borderId="1" xfId="17" applyFill="1" applyBorder="1" applyAlignment="1">
      <alignment/>
    </xf>
    <xf numFmtId="44" fontId="0" fillId="6" borderId="42" xfId="17" applyFill="1" applyBorder="1" applyAlignment="1">
      <alignment/>
    </xf>
    <xf numFmtId="44" fontId="0" fillId="6" borderId="1" xfId="17" applyFont="1" applyFill="1" applyBorder="1" applyAlignment="1">
      <alignment/>
    </xf>
    <xf numFmtId="0" fontId="1" fillId="7" borderId="28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8" borderId="44" xfId="0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3" borderId="44" xfId="0" applyFont="1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45" xfId="0" applyBorder="1" applyAlignment="1">
      <alignment horizontal="center"/>
    </xf>
    <xf numFmtId="0" fontId="22" fillId="0" borderId="0" xfId="0" applyFont="1" applyAlignment="1">
      <alignment horizontal="left"/>
    </xf>
    <xf numFmtId="175" fontId="0" fillId="0" borderId="0" xfId="0" applyNumberFormat="1" applyBorder="1" applyAlignment="1">
      <alignment/>
    </xf>
    <xf numFmtId="164" fontId="7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1" fillId="6" borderId="1" xfId="19" applyNumberFormat="1" applyFont="1" applyFill="1" applyBorder="1" applyAlignment="1" applyProtection="1">
      <alignment/>
      <protection locked="0"/>
    </xf>
    <xf numFmtId="1" fontId="7" fillId="2" borderId="0" xfId="0" applyNumberFormat="1" applyFont="1" applyFill="1" applyAlignment="1">
      <alignment/>
    </xf>
    <xf numFmtId="165" fontId="3" fillId="2" borderId="16" xfId="0" applyNumberFormat="1" applyFont="1" applyFill="1" applyBorder="1" applyAlignment="1">
      <alignment/>
    </xf>
    <xf numFmtId="165" fontId="3" fillId="2" borderId="48" xfId="0" applyNumberFormat="1" applyFont="1" applyFill="1" applyBorder="1" applyAlignment="1">
      <alignment/>
    </xf>
    <xf numFmtId="164" fontId="3" fillId="2" borderId="1" xfId="19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30" fillId="0" borderId="0" xfId="0" applyFont="1" applyAlignment="1">
      <alignment horizontal="left" indent="3"/>
    </xf>
    <xf numFmtId="0" fontId="0" fillId="6" borderId="0" xfId="0" applyFill="1" applyAlignment="1">
      <alignment horizontal="left" indent="4"/>
    </xf>
    <xf numFmtId="44" fontId="0" fillId="2" borderId="12" xfId="17" applyFill="1" applyBorder="1" applyAlignment="1">
      <alignment/>
    </xf>
    <xf numFmtId="0" fontId="0" fillId="0" borderId="0" xfId="0" applyBorder="1" applyAlignment="1">
      <alignment horizontal="left" indent="9"/>
    </xf>
    <xf numFmtId="0" fontId="10" fillId="6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Alignment="1">
      <alignment horizontal="left"/>
    </xf>
    <xf numFmtId="2" fontId="0" fillId="6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indent="4"/>
    </xf>
    <xf numFmtId="0" fontId="6" fillId="2" borderId="1" xfId="0" applyFont="1" applyFill="1" applyBorder="1" applyAlignment="1">
      <alignment horizontal="center"/>
    </xf>
    <xf numFmtId="165" fontId="6" fillId="2" borderId="48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 quotePrefix="1">
      <alignment horizontal="right"/>
    </xf>
    <xf numFmtId="0" fontId="0" fillId="6" borderId="49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0" fillId="6" borderId="49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7" borderId="33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6" borderId="0" xfId="0" applyFont="1" applyFill="1" applyAlignment="1" applyProtection="1">
      <alignment horizontal="left" indent="2"/>
      <protection locked="0"/>
    </xf>
    <xf numFmtId="0" fontId="10" fillId="6" borderId="28" xfId="0" applyFont="1" applyFill="1" applyBorder="1" applyAlignment="1" applyProtection="1">
      <alignment horizontal="left" indent="2"/>
      <protection locked="0"/>
    </xf>
    <xf numFmtId="0" fontId="0" fillId="0" borderId="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8" borderId="55" xfId="0" applyFont="1" applyFill="1" applyBorder="1" applyAlignment="1">
      <alignment horizontal="left" indent="1"/>
    </xf>
    <xf numFmtId="0" fontId="1" fillId="8" borderId="56" xfId="0" applyFont="1" applyFill="1" applyBorder="1" applyAlignment="1">
      <alignment horizontal="left" indent="1"/>
    </xf>
    <xf numFmtId="0" fontId="0" fillId="6" borderId="1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7" fillId="3" borderId="5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0" fillId="0" borderId="0" xfId="0" applyFont="1" applyAlignment="1">
      <alignment horizontal="left" indent="2"/>
    </xf>
    <xf numFmtId="0" fontId="10" fillId="0" borderId="28" xfId="0" applyFont="1" applyBorder="1" applyAlignment="1">
      <alignment horizontal="left" indent="2"/>
    </xf>
    <xf numFmtId="0" fontId="23" fillId="0" borderId="0" xfId="0" applyFont="1" applyAlignment="1">
      <alignment horizontal="center" shrinkToFit="1"/>
    </xf>
    <xf numFmtId="0" fontId="23" fillId="0" borderId="28" xfId="0" applyFont="1" applyBorder="1" applyAlignment="1">
      <alignment horizontal="center" shrinkToFi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8" fillId="8" borderId="57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9" fillId="0" borderId="5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165" fontId="7" fillId="2" borderId="60" xfId="0" applyNumberFormat="1" applyFont="1" applyFill="1" applyBorder="1" applyAlignment="1">
      <alignment horizontal="center" vertical="center"/>
    </xf>
    <xf numFmtId="165" fontId="7" fillId="2" borderId="61" xfId="0" applyNumberFormat="1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0" borderId="6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3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9" xfId="0" applyBorder="1" applyAlignment="1" quotePrefix="1">
      <alignment horizontal="center" wrapText="1"/>
    </xf>
    <xf numFmtId="0" fontId="10" fillId="3" borderId="66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165" fontId="2" fillId="2" borderId="69" xfId="0" applyNumberFormat="1" applyFont="1" applyFill="1" applyBorder="1" applyAlignment="1">
      <alignment horizontal="center"/>
    </xf>
    <xf numFmtId="165" fontId="2" fillId="2" borderId="30" xfId="0" applyNumberFormat="1" applyFont="1" applyFill="1" applyBorder="1" applyAlignment="1">
      <alignment horizontal="center"/>
    </xf>
    <xf numFmtId="0" fontId="7" fillId="8" borderId="67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9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65" fontId="6" fillId="2" borderId="33" xfId="0" applyNumberFormat="1" applyFont="1" applyFill="1" applyBorder="1" applyAlignment="1">
      <alignment horizontal="center"/>
    </xf>
    <xf numFmtId="165" fontId="6" fillId="2" borderId="38" xfId="0" applyNumberFormat="1" applyFont="1" applyFill="1" applyBorder="1" applyAlignment="1">
      <alignment horizontal="center"/>
    </xf>
    <xf numFmtId="2" fontId="1" fillId="2" borderId="33" xfId="0" applyNumberFormat="1" applyFont="1" applyFill="1" applyBorder="1" applyAlignment="1">
      <alignment horizontal="center"/>
    </xf>
    <xf numFmtId="2" fontId="1" fillId="2" borderId="36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left" indent="1"/>
    </xf>
    <xf numFmtId="9" fontId="0" fillId="0" borderId="18" xfId="19" applyBorder="1" applyAlignment="1">
      <alignment horizontal="center"/>
    </xf>
    <xf numFmtId="9" fontId="0" fillId="0" borderId="19" xfId="19" applyBorder="1" applyAlignment="1">
      <alignment horizontal="center"/>
    </xf>
    <xf numFmtId="0" fontId="0" fillId="8" borderId="73" xfId="0" applyFill="1" applyBorder="1" applyAlignment="1">
      <alignment horizontal="center"/>
    </xf>
    <xf numFmtId="0" fontId="0" fillId="8" borderId="74" xfId="0" applyFill="1" applyBorder="1" applyAlignment="1">
      <alignment horizontal="center"/>
    </xf>
    <xf numFmtId="0" fontId="0" fillId="8" borderId="75" xfId="0" applyFill="1" applyBorder="1" applyAlignment="1">
      <alignment horizontal="center"/>
    </xf>
    <xf numFmtId="0" fontId="2" fillId="8" borderId="76" xfId="0" applyFont="1" applyFill="1" applyBorder="1" applyAlignment="1">
      <alignment horizontal="center" vertical="center"/>
    </xf>
    <xf numFmtId="0" fontId="2" fillId="8" borderId="7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63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8" fillId="0" borderId="66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218</xdr:row>
      <xdr:rowOff>95250</xdr:rowOff>
    </xdr:from>
    <xdr:to>
      <xdr:col>10</xdr:col>
      <xdr:colOff>800100</xdr:colOff>
      <xdr:row>219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0734675" y="42338625"/>
          <a:ext cx="742950" cy="276225"/>
        </a:xfrm>
        <a:custGeom>
          <a:pathLst>
            <a:path h="31" w="93">
              <a:moveTo>
                <a:pt x="0" y="1"/>
              </a:moveTo>
              <a:cubicBezTo>
                <a:pt x="31" y="0"/>
                <a:pt x="63" y="0"/>
                <a:pt x="78" y="5"/>
              </a:cubicBezTo>
              <a:cubicBezTo>
                <a:pt x="93" y="10"/>
                <a:pt x="84" y="25"/>
                <a:pt x="88" y="3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125</xdr:row>
      <xdr:rowOff>142875</xdr:rowOff>
    </xdr:from>
    <xdr:to>
      <xdr:col>10</xdr:col>
      <xdr:colOff>104775</xdr:colOff>
      <xdr:row>127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0220325" y="24898350"/>
          <a:ext cx="561975" cy="342900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257</xdr:row>
      <xdr:rowOff>38100</xdr:rowOff>
    </xdr:from>
    <xdr:to>
      <xdr:col>7</xdr:col>
      <xdr:colOff>152400</xdr:colOff>
      <xdr:row>258</xdr:row>
      <xdr:rowOff>247650</xdr:rowOff>
    </xdr:to>
    <xdr:sp>
      <xdr:nvSpPr>
        <xdr:cNvPr id="4" name="AutoShape 159"/>
        <xdr:cNvSpPr>
          <a:spLocks/>
        </xdr:cNvSpPr>
      </xdr:nvSpPr>
      <xdr:spPr>
        <a:xfrm>
          <a:off x="7677150" y="50196750"/>
          <a:ext cx="76200" cy="476250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257</xdr:row>
      <xdr:rowOff>133350</xdr:rowOff>
    </xdr:from>
    <xdr:to>
      <xdr:col>7</xdr:col>
      <xdr:colOff>742950</xdr:colOff>
      <xdr:row>258</xdr:row>
      <xdr:rowOff>95250</xdr:rowOff>
    </xdr:to>
    <xdr:sp>
      <xdr:nvSpPr>
        <xdr:cNvPr id="5" name="AutoShape 160"/>
        <xdr:cNvSpPr>
          <a:spLocks/>
        </xdr:cNvSpPr>
      </xdr:nvSpPr>
      <xdr:spPr>
        <a:xfrm>
          <a:off x="7943850" y="50292000"/>
          <a:ext cx="400050" cy="2286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158</xdr:row>
      <xdr:rowOff>142875</xdr:rowOff>
    </xdr:from>
    <xdr:to>
      <xdr:col>10</xdr:col>
      <xdr:colOff>104775</xdr:colOff>
      <xdr:row>160</xdr:row>
      <xdr:rowOff>161925</xdr:rowOff>
    </xdr:to>
    <xdr:sp>
      <xdr:nvSpPr>
        <xdr:cNvPr id="6" name="AutoShape 161"/>
        <xdr:cNvSpPr>
          <a:spLocks/>
        </xdr:cNvSpPr>
      </xdr:nvSpPr>
      <xdr:spPr>
        <a:xfrm>
          <a:off x="10220325" y="30889575"/>
          <a:ext cx="561975" cy="352425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218</xdr:row>
      <xdr:rowOff>95250</xdr:rowOff>
    </xdr:from>
    <xdr:to>
      <xdr:col>10</xdr:col>
      <xdr:colOff>800100</xdr:colOff>
      <xdr:row>219</xdr:row>
      <xdr:rowOff>171450</xdr:rowOff>
    </xdr:to>
    <xdr:sp>
      <xdr:nvSpPr>
        <xdr:cNvPr id="7" name="AutoShape 180"/>
        <xdr:cNvSpPr>
          <a:spLocks/>
        </xdr:cNvSpPr>
      </xdr:nvSpPr>
      <xdr:spPr>
        <a:xfrm>
          <a:off x="10734675" y="42338625"/>
          <a:ext cx="742950" cy="276225"/>
        </a:xfrm>
        <a:custGeom>
          <a:pathLst>
            <a:path h="31" w="93">
              <a:moveTo>
                <a:pt x="0" y="1"/>
              </a:moveTo>
              <a:cubicBezTo>
                <a:pt x="31" y="0"/>
                <a:pt x="63" y="0"/>
                <a:pt x="78" y="5"/>
              </a:cubicBezTo>
              <a:cubicBezTo>
                <a:pt x="93" y="10"/>
                <a:pt x="84" y="25"/>
                <a:pt x="88" y="3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7"/>
  <sheetViews>
    <sheetView tabSelected="1" zoomScale="75" zoomScaleNormal="75" workbookViewId="0" topLeftCell="A3">
      <selection activeCell="A3" sqref="A3"/>
    </sheetView>
  </sheetViews>
  <sheetFormatPr defaultColWidth="9.140625" defaultRowHeight="12.75"/>
  <cols>
    <col min="1" max="1" width="25.8515625" style="0" customWidth="1"/>
    <col min="2" max="2" width="15.8515625" style="0" customWidth="1"/>
    <col min="3" max="3" width="14.57421875" style="0" customWidth="1"/>
    <col min="4" max="4" width="13.57421875" style="0" customWidth="1"/>
    <col min="5" max="5" width="13.7109375" style="0" customWidth="1"/>
    <col min="6" max="6" width="17.28125" style="0" customWidth="1"/>
    <col min="7" max="7" width="13.140625" style="0" customWidth="1"/>
    <col min="8" max="8" width="19.28125" style="0" customWidth="1"/>
    <col min="9" max="9" width="13.28125" style="0" customWidth="1"/>
    <col min="10" max="10" width="13.57421875" style="0" customWidth="1"/>
    <col min="11" max="11" width="14.00390625" style="0" customWidth="1"/>
    <col min="12" max="16384" width="11.421875" style="0" customWidth="1"/>
  </cols>
  <sheetData>
    <row r="2" ht="36.75">
      <c r="A2" s="4" t="s">
        <v>259</v>
      </c>
    </row>
    <row r="3" spans="1:2" ht="36.75">
      <c r="A3" s="4" t="s">
        <v>21</v>
      </c>
      <c r="B3" s="4"/>
    </row>
    <row r="4" spans="1:11" ht="32.25" customHeight="1" thickBot="1">
      <c r="A4" s="87"/>
      <c r="B4" s="87"/>
      <c r="C4" s="88"/>
      <c r="D4" s="88"/>
      <c r="E4" s="88"/>
      <c r="F4" s="88"/>
      <c r="G4" s="88"/>
      <c r="H4" s="129"/>
      <c r="I4" s="128" t="s">
        <v>303</v>
      </c>
      <c r="J4" s="88"/>
      <c r="K4" s="88"/>
    </row>
    <row r="5" ht="13.5" thickTop="1"/>
    <row r="6" spans="1:2" ht="22.5" customHeight="1">
      <c r="A6" s="38" t="s">
        <v>22</v>
      </c>
      <c r="B6" s="39"/>
    </row>
    <row r="7" spans="1:2" ht="9.75" customHeight="1" thickBot="1">
      <c r="A7" s="39"/>
      <c r="B7" s="39"/>
    </row>
    <row r="8" spans="1:11" ht="18" customHeight="1">
      <c r="A8" s="39"/>
      <c r="B8" s="39"/>
      <c r="C8" s="265" t="s">
        <v>23</v>
      </c>
      <c r="D8" s="267" t="s">
        <v>261</v>
      </c>
      <c r="E8" s="284" t="s">
        <v>24</v>
      </c>
      <c r="H8" s="286" t="s">
        <v>4</v>
      </c>
      <c r="I8" s="287"/>
      <c r="J8" s="287"/>
      <c r="K8" s="288"/>
    </row>
    <row r="9" spans="1:11" ht="11.25" customHeight="1" thickBot="1">
      <c r="A9" s="39"/>
      <c r="B9" s="39"/>
      <c r="C9" s="266"/>
      <c r="D9" s="268"/>
      <c r="E9" s="285"/>
      <c r="H9" s="289"/>
      <c r="I9" s="290"/>
      <c r="J9" s="290"/>
      <c r="K9" s="291"/>
    </row>
    <row r="10" spans="1:11" ht="12.75" customHeight="1">
      <c r="A10" s="40" t="s">
        <v>25</v>
      </c>
      <c r="B10" s="40"/>
      <c r="C10" s="137">
        <v>2</v>
      </c>
      <c r="D10" s="137">
        <v>2</v>
      </c>
      <c r="E10" s="41">
        <f aca="true" t="shared" si="0" ref="E10:E18">+D10*C10</f>
        <v>4</v>
      </c>
      <c r="H10" s="44"/>
      <c r="I10" s="42"/>
      <c r="J10" s="42"/>
      <c r="K10" s="43"/>
    </row>
    <row r="11" spans="1:11" ht="12.75" customHeight="1">
      <c r="A11" s="40" t="s">
        <v>26</v>
      </c>
      <c r="B11" s="40"/>
      <c r="C11" s="137">
        <v>2</v>
      </c>
      <c r="D11" s="137">
        <v>1</v>
      </c>
      <c r="E11" s="41">
        <f t="shared" si="0"/>
        <v>2</v>
      </c>
      <c r="H11" s="44"/>
      <c r="I11" s="45"/>
      <c r="J11" s="45"/>
      <c r="K11" s="46"/>
    </row>
    <row r="12" spans="1:11" ht="12.75" customHeight="1">
      <c r="A12" s="40" t="s">
        <v>27</v>
      </c>
      <c r="B12" s="40"/>
      <c r="C12" s="137"/>
      <c r="D12" s="137"/>
      <c r="E12" s="41">
        <f t="shared" si="0"/>
        <v>0</v>
      </c>
      <c r="F12" s="6"/>
      <c r="H12" s="44"/>
      <c r="I12" s="45"/>
      <c r="J12" s="45"/>
      <c r="K12" s="46"/>
    </row>
    <row r="13" spans="1:11" ht="12.75" customHeight="1">
      <c r="A13" s="40" t="s">
        <v>160</v>
      </c>
      <c r="B13" s="40"/>
      <c r="C13" s="137">
        <v>4</v>
      </c>
      <c r="D13" s="137">
        <v>2</v>
      </c>
      <c r="E13" s="41">
        <f t="shared" si="0"/>
        <v>8</v>
      </c>
      <c r="F13" s="6"/>
      <c r="H13" s="44"/>
      <c r="I13" s="45"/>
      <c r="J13" s="45"/>
      <c r="K13" s="46"/>
    </row>
    <row r="14" spans="1:11" ht="12.75" customHeight="1">
      <c r="A14" s="40" t="s">
        <v>20</v>
      </c>
      <c r="B14" s="40"/>
      <c r="C14" s="137">
        <v>1</v>
      </c>
      <c r="D14" s="137">
        <v>15</v>
      </c>
      <c r="E14" s="41">
        <f t="shared" si="0"/>
        <v>15</v>
      </c>
      <c r="F14" s="6"/>
      <c r="H14" s="44"/>
      <c r="I14" s="45"/>
      <c r="J14" s="45"/>
      <c r="K14" s="46"/>
    </row>
    <row r="15" spans="1:11" ht="12.75" customHeight="1">
      <c r="A15" s="40" t="s">
        <v>28</v>
      </c>
      <c r="B15" s="40"/>
      <c r="C15" s="137">
        <v>1</v>
      </c>
      <c r="D15" s="137">
        <v>2</v>
      </c>
      <c r="E15" s="41">
        <f t="shared" si="0"/>
        <v>2</v>
      </c>
      <c r="F15" s="6"/>
      <c r="H15" s="44"/>
      <c r="I15" s="45"/>
      <c r="J15" s="45"/>
      <c r="K15" s="46"/>
    </row>
    <row r="16" spans="1:11" ht="12.75" customHeight="1">
      <c r="A16" s="40" t="s">
        <v>29</v>
      </c>
      <c r="B16" s="40"/>
      <c r="C16" s="137">
        <v>1</v>
      </c>
      <c r="D16" s="137">
        <v>5</v>
      </c>
      <c r="E16" s="41">
        <f t="shared" si="0"/>
        <v>5</v>
      </c>
      <c r="F16" s="6"/>
      <c r="H16" s="44"/>
      <c r="I16" s="45"/>
      <c r="J16" s="45"/>
      <c r="K16" s="46"/>
    </row>
    <row r="17" spans="1:11" ht="12.75" customHeight="1">
      <c r="A17" s="40" t="s">
        <v>0</v>
      </c>
      <c r="B17" s="40"/>
      <c r="C17" s="137">
        <v>1</v>
      </c>
      <c r="D17" s="137">
        <v>30</v>
      </c>
      <c r="E17" s="41">
        <f t="shared" si="0"/>
        <v>30</v>
      </c>
      <c r="F17" s="6"/>
      <c r="H17" s="44"/>
      <c r="I17" s="45"/>
      <c r="J17" s="45"/>
      <c r="K17" s="46"/>
    </row>
    <row r="18" spans="1:11" ht="15.75" thickBot="1">
      <c r="A18" s="141"/>
      <c r="B18" s="141"/>
      <c r="C18" s="137"/>
      <c r="D18" s="137"/>
      <c r="E18" s="47">
        <f t="shared" si="0"/>
        <v>0</v>
      </c>
      <c r="H18" s="44"/>
      <c r="I18" s="45"/>
      <c r="J18" s="45"/>
      <c r="K18" s="46"/>
    </row>
    <row r="19" spans="1:11" ht="15.75" thickBot="1">
      <c r="A19" s="48"/>
      <c r="B19" s="48"/>
      <c r="C19" s="48"/>
      <c r="D19" s="48"/>
      <c r="E19" s="49">
        <f>SUM(E10:E18)</f>
        <v>66</v>
      </c>
      <c r="F19" s="31" t="s">
        <v>12</v>
      </c>
      <c r="H19" s="50"/>
      <c r="I19" s="51"/>
      <c r="J19" s="51"/>
      <c r="K19" s="52"/>
    </row>
    <row r="20" spans="1:6" ht="14.25">
      <c r="A20" s="48"/>
      <c r="B20" s="48"/>
      <c r="C20" s="48"/>
      <c r="D20" s="48"/>
      <c r="E20" s="53">
        <f>+E19/60</f>
        <v>1.1</v>
      </c>
      <c r="F20" s="31" t="s">
        <v>30</v>
      </c>
    </row>
    <row r="21" spans="1:5" ht="14.25">
      <c r="A21" s="48"/>
      <c r="B21" s="48"/>
      <c r="C21" s="48"/>
      <c r="D21" s="48"/>
      <c r="E21" s="48"/>
    </row>
    <row r="22" spans="1:5" ht="14.25">
      <c r="A22" s="48"/>
      <c r="B22" s="48"/>
      <c r="C22" s="48"/>
      <c r="D22" s="48"/>
      <c r="E22" s="48"/>
    </row>
    <row r="23" spans="1:11" ht="15" thickBot="1">
      <c r="A23" s="54"/>
      <c r="B23" s="54"/>
      <c r="C23" s="54"/>
      <c r="D23" s="54"/>
      <c r="E23" s="54"/>
      <c r="F23" s="14"/>
      <c r="G23" s="14"/>
      <c r="H23" s="14"/>
      <c r="I23" s="14"/>
      <c r="J23" s="14"/>
      <c r="K23" s="14"/>
    </row>
    <row r="24" spans="1:4" ht="12.75">
      <c r="A24" s="2"/>
      <c r="B24" s="2"/>
      <c r="C24" s="2"/>
      <c r="D24" s="2"/>
    </row>
    <row r="25" spans="1:5" ht="23.25">
      <c r="A25" s="38" t="s">
        <v>161</v>
      </c>
      <c r="B25" s="39"/>
      <c r="C25" s="2"/>
      <c r="D25" s="2"/>
      <c r="E25" s="2"/>
    </row>
    <row r="26" spans="1:5" ht="21" thickBot="1">
      <c r="A26" s="39"/>
      <c r="B26" s="39"/>
      <c r="C26" s="2"/>
      <c r="D26" s="2"/>
      <c r="E26" s="2"/>
    </row>
    <row r="27" spans="1:11" ht="21" customHeight="1">
      <c r="A27" s="55" t="s">
        <v>162</v>
      </c>
      <c r="B27" s="39"/>
      <c r="C27" s="265" t="s">
        <v>23</v>
      </c>
      <c r="D27" s="267" t="s">
        <v>261</v>
      </c>
      <c r="E27" s="284" t="s">
        <v>24</v>
      </c>
      <c r="G27" s="58" t="s">
        <v>32</v>
      </c>
      <c r="I27" s="265" t="s">
        <v>23</v>
      </c>
      <c r="J27" s="267" t="s">
        <v>261</v>
      </c>
      <c r="K27" s="284" t="s">
        <v>24</v>
      </c>
    </row>
    <row r="28" spans="1:11" ht="18.75" customHeight="1" thickBot="1">
      <c r="A28" s="55" t="s">
        <v>163</v>
      </c>
      <c r="B28" s="56"/>
      <c r="C28" s="266"/>
      <c r="D28" s="268"/>
      <c r="E28" s="285"/>
      <c r="G28" s="210" t="s">
        <v>33</v>
      </c>
      <c r="H28" s="2"/>
      <c r="I28" s="266"/>
      <c r="J28" s="268"/>
      <c r="K28" s="285"/>
    </row>
    <row r="29" spans="1:11" ht="14.25">
      <c r="A29" s="40" t="s">
        <v>164</v>
      </c>
      <c r="B29" s="40"/>
      <c r="C29" s="137">
        <v>1</v>
      </c>
      <c r="D29" s="137">
        <v>3</v>
      </c>
      <c r="E29" s="41">
        <f aca="true" t="shared" si="1" ref="E29:E36">+D29*C29</f>
        <v>3</v>
      </c>
      <c r="G29" s="183" t="s">
        <v>262</v>
      </c>
      <c r="H29" s="31"/>
      <c r="I29" s="137">
        <v>1</v>
      </c>
      <c r="J29" s="137">
        <v>5</v>
      </c>
      <c r="K29" s="41">
        <f aca="true" t="shared" si="2" ref="K29:K35">+J29*I29</f>
        <v>5</v>
      </c>
    </row>
    <row r="30" spans="1:11" ht="14.25">
      <c r="A30" s="40" t="s">
        <v>34</v>
      </c>
      <c r="B30" s="40"/>
      <c r="C30" s="137">
        <v>1</v>
      </c>
      <c r="D30" s="137">
        <v>4</v>
      </c>
      <c r="E30" s="41">
        <f t="shared" si="1"/>
        <v>4</v>
      </c>
      <c r="G30" s="183" t="s">
        <v>299</v>
      </c>
      <c r="I30" s="137">
        <v>1</v>
      </c>
      <c r="J30" s="137">
        <v>6</v>
      </c>
      <c r="K30" s="41">
        <f t="shared" si="2"/>
        <v>6</v>
      </c>
    </row>
    <row r="31" spans="1:11" ht="14.25">
      <c r="A31" s="40" t="s">
        <v>35</v>
      </c>
      <c r="B31" s="40"/>
      <c r="C31" s="137">
        <v>0.3</v>
      </c>
      <c r="D31" s="137">
        <v>20</v>
      </c>
      <c r="E31" s="41">
        <f t="shared" si="1"/>
        <v>6</v>
      </c>
      <c r="G31" s="183" t="s">
        <v>260</v>
      </c>
      <c r="H31" s="31"/>
      <c r="I31" s="137">
        <v>1</v>
      </c>
      <c r="J31" s="137">
        <v>5</v>
      </c>
      <c r="K31" s="41">
        <f t="shared" si="2"/>
        <v>5</v>
      </c>
    </row>
    <row r="32" spans="1:11" ht="14.25">
      <c r="A32" s="40" t="s">
        <v>37</v>
      </c>
      <c r="B32" s="40"/>
      <c r="C32" s="137">
        <v>1</v>
      </c>
      <c r="D32" s="137">
        <v>4</v>
      </c>
      <c r="E32" s="41">
        <f t="shared" si="1"/>
        <v>4</v>
      </c>
      <c r="G32" s="183" t="s">
        <v>56</v>
      </c>
      <c r="H32" s="31"/>
      <c r="I32" s="137">
        <v>1</v>
      </c>
      <c r="J32" s="137">
        <v>5</v>
      </c>
      <c r="K32" s="41">
        <f t="shared" si="2"/>
        <v>5</v>
      </c>
    </row>
    <row r="33" spans="1:11" ht="14.25">
      <c r="A33" s="138"/>
      <c r="B33" s="138"/>
      <c r="C33" s="137"/>
      <c r="D33" s="137"/>
      <c r="E33" s="41">
        <f t="shared" si="1"/>
        <v>0</v>
      </c>
      <c r="G33" s="234"/>
      <c r="H33" s="140"/>
      <c r="I33" s="137"/>
      <c r="J33" s="137"/>
      <c r="K33" s="41">
        <f t="shared" si="2"/>
        <v>0</v>
      </c>
    </row>
    <row r="34" spans="1:11" ht="14.25">
      <c r="A34" s="138"/>
      <c r="B34" s="138"/>
      <c r="C34" s="137"/>
      <c r="D34" s="137"/>
      <c r="E34" s="41">
        <f t="shared" si="1"/>
        <v>0</v>
      </c>
      <c r="G34" s="234"/>
      <c r="H34" s="140"/>
      <c r="I34" s="137"/>
      <c r="J34" s="137"/>
      <c r="K34" s="41">
        <f t="shared" si="2"/>
        <v>0</v>
      </c>
    </row>
    <row r="35" spans="1:11" ht="15" thickBot="1">
      <c r="A35" s="138"/>
      <c r="B35" s="138"/>
      <c r="C35" s="137"/>
      <c r="D35" s="137"/>
      <c r="E35" s="41">
        <f t="shared" si="1"/>
        <v>0</v>
      </c>
      <c r="G35" s="234"/>
      <c r="H35" s="140"/>
      <c r="I35" s="137"/>
      <c r="J35" s="137"/>
      <c r="K35" s="41">
        <f t="shared" si="2"/>
        <v>0</v>
      </c>
    </row>
    <row r="36" spans="1:11" ht="15" thickBot="1">
      <c r="A36" s="138"/>
      <c r="B36" s="138"/>
      <c r="C36" s="137"/>
      <c r="D36" s="137"/>
      <c r="E36" s="41">
        <f t="shared" si="1"/>
        <v>0</v>
      </c>
      <c r="F36" s="31"/>
      <c r="I36" s="31"/>
      <c r="J36" s="57" t="s">
        <v>42</v>
      </c>
      <c r="K36" s="49">
        <f>SUM(K29:K35)</f>
        <v>21</v>
      </c>
    </row>
    <row r="37" spans="1:11" ht="15" thickBot="1">
      <c r="A37" s="59"/>
      <c r="B37" s="59"/>
      <c r="C37" s="48"/>
      <c r="D37" s="48"/>
      <c r="E37" s="49">
        <f>SUM(E29:E36)</f>
        <v>17</v>
      </c>
      <c r="F37" s="31" t="s">
        <v>38</v>
      </c>
      <c r="G37" s="31"/>
      <c r="H37" s="31"/>
      <c r="I37" s="31"/>
      <c r="J37" s="57" t="s">
        <v>265</v>
      </c>
      <c r="K37" s="53">
        <f>+K36/60</f>
        <v>0.35</v>
      </c>
    </row>
    <row r="38" spans="1:8" ht="14.25">
      <c r="A38" s="59"/>
      <c r="B38" s="59"/>
      <c r="C38" s="48"/>
      <c r="D38" s="48"/>
      <c r="E38" s="53">
        <f>+E37/60</f>
        <v>0.2833333333333333</v>
      </c>
      <c r="F38" s="31" t="s">
        <v>39</v>
      </c>
      <c r="G38" s="31"/>
      <c r="H38" s="31"/>
    </row>
    <row r="39" spans="1:5" ht="14.25">
      <c r="A39" s="48"/>
      <c r="B39" s="48"/>
      <c r="C39" s="48"/>
      <c r="D39" s="48"/>
      <c r="E39" s="48"/>
    </row>
    <row r="40" spans="1:5" ht="24" thickBot="1">
      <c r="A40" s="38" t="s">
        <v>165</v>
      </c>
      <c r="B40" s="48"/>
      <c r="C40" s="48"/>
      <c r="D40" s="48"/>
      <c r="E40" s="48"/>
    </row>
    <row r="41" spans="1:11" ht="20.25" customHeight="1">
      <c r="A41" s="58" t="s">
        <v>31</v>
      </c>
      <c r="C41" s="265" t="s">
        <v>23</v>
      </c>
      <c r="D41" s="267" t="s">
        <v>261</v>
      </c>
      <c r="E41" s="284" t="s">
        <v>24</v>
      </c>
      <c r="H41" s="39"/>
      <c r="I41" s="265" t="s">
        <v>23</v>
      </c>
      <c r="J41" s="267" t="s">
        <v>261</v>
      </c>
      <c r="K41" s="284" t="s">
        <v>24</v>
      </c>
    </row>
    <row r="42" spans="1:11" ht="18.75" thickBot="1">
      <c r="A42" s="58" t="s">
        <v>2</v>
      </c>
      <c r="B42" s="31"/>
      <c r="C42" s="266"/>
      <c r="D42" s="268"/>
      <c r="E42" s="285"/>
      <c r="G42" s="210" t="s">
        <v>43</v>
      </c>
      <c r="H42" s="56"/>
      <c r="I42" s="266"/>
      <c r="J42" s="268"/>
      <c r="K42" s="285"/>
    </row>
    <row r="43" spans="1:11" ht="14.25">
      <c r="A43" s="40" t="s">
        <v>36</v>
      </c>
      <c r="B43" s="31"/>
      <c r="C43" s="137">
        <v>1</v>
      </c>
      <c r="D43" s="137">
        <v>5</v>
      </c>
      <c r="E43" s="41">
        <f>+D43*C43</f>
        <v>5</v>
      </c>
      <c r="G43" s="183" t="s">
        <v>44</v>
      </c>
      <c r="H43" s="40"/>
      <c r="I43" s="137">
        <v>1</v>
      </c>
      <c r="J43" s="137">
        <v>5</v>
      </c>
      <c r="K43" s="41">
        <f aca="true" t="shared" si="3" ref="K43:K51">+J43*I43</f>
        <v>5</v>
      </c>
    </row>
    <row r="44" spans="1:11" ht="14.25">
      <c r="A44" s="40" t="s">
        <v>166</v>
      </c>
      <c r="C44" s="137"/>
      <c r="D44" s="137"/>
      <c r="E44" s="41">
        <f>+D44*C44</f>
        <v>0</v>
      </c>
      <c r="G44" s="183" t="s">
        <v>268</v>
      </c>
      <c r="H44" s="40"/>
      <c r="I44" s="137">
        <v>1</v>
      </c>
      <c r="J44" s="137">
        <v>6</v>
      </c>
      <c r="K44" s="41">
        <f t="shared" si="3"/>
        <v>6</v>
      </c>
    </row>
    <row r="45" spans="1:11" ht="14.25">
      <c r="A45" s="40" t="s">
        <v>56</v>
      </c>
      <c r="C45" s="137">
        <v>1</v>
      </c>
      <c r="D45" s="137">
        <v>4</v>
      </c>
      <c r="E45" s="41">
        <f>+D45*C45</f>
        <v>4</v>
      </c>
      <c r="G45" s="183" t="s">
        <v>46</v>
      </c>
      <c r="H45" s="40"/>
      <c r="I45" s="137">
        <v>1</v>
      </c>
      <c r="J45" s="137">
        <v>5</v>
      </c>
      <c r="K45" s="41">
        <f t="shared" si="3"/>
        <v>5</v>
      </c>
    </row>
    <row r="46" spans="1:11" ht="15" thickBot="1">
      <c r="A46" s="139"/>
      <c r="B46" s="140"/>
      <c r="C46" s="137"/>
      <c r="D46" s="137"/>
      <c r="E46" s="41">
        <f>+D46*C46</f>
        <v>0</v>
      </c>
      <c r="G46" s="183" t="s">
        <v>45</v>
      </c>
      <c r="H46" s="40"/>
      <c r="I46" s="137">
        <v>1</v>
      </c>
      <c r="J46" s="137">
        <v>8</v>
      </c>
      <c r="K46" s="41">
        <f t="shared" si="3"/>
        <v>8</v>
      </c>
    </row>
    <row r="47" spans="1:11" ht="15" thickBot="1">
      <c r="A47" s="31"/>
      <c r="B47" s="31"/>
      <c r="C47" s="48"/>
      <c r="D47" s="57" t="s">
        <v>40</v>
      </c>
      <c r="E47" s="49">
        <f>SUM(E43:E46)</f>
        <v>9</v>
      </c>
      <c r="G47" s="183" t="s">
        <v>47</v>
      </c>
      <c r="H47" s="40"/>
      <c r="I47" s="137">
        <v>1</v>
      </c>
      <c r="J47" s="137">
        <v>5</v>
      </c>
      <c r="K47" s="41">
        <f t="shared" si="3"/>
        <v>5</v>
      </c>
    </row>
    <row r="48" spans="1:11" ht="14.25">
      <c r="A48" s="31"/>
      <c r="B48" s="31"/>
      <c r="C48" s="31"/>
      <c r="D48" s="57" t="s">
        <v>41</v>
      </c>
      <c r="E48" s="53">
        <f>+E47/60</f>
        <v>0.15</v>
      </c>
      <c r="G48" s="183" t="s">
        <v>48</v>
      </c>
      <c r="H48" s="40"/>
      <c r="I48" s="137"/>
      <c r="J48" s="137"/>
      <c r="K48" s="41">
        <f t="shared" si="3"/>
        <v>0</v>
      </c>
    </row>
    <row r="49" spans="1:11" ht="14.25">
      <c r="A49" s="48"/>
      <c r="B49" s="48"/>
      <c r="C49" s="48"/>
      <c r="D49" s="48"/>
      <c r="E49" s="48"/>
      <c r="G49" s="183" t="s">
        <v>269</v>
      </c>
      <c r="H49" s="40"/>
      <c r="I49" s="137">
        <v>0.5</v>
      </c>
      <c r="J49" s="137">
        <v>5</v>
      </c>
      <c r="K49" s="41">
        <f t="shared" si="3"/>
        <v>2.5</v>
      </c>
    </row>
    <row r="50" spans="7:12" ht="15" thickBot="1">
      <c r="G50" s="138"/>
      <c r="H50" s="138"/>
      <c r="I50" s="137"/>
      <c r="J50" s="137"/>
      <c r="K50" s="41">
        <f t="shared" si="3"/>
        <v>0</v>
      </c>
      <c r="L50" s="31"/>
    </row>
    <row r="51" spans="3:11" ht="16.5" customHeight="1" thickBot="1">
      <c r="C51" s="265" t="s">
        <v>23</v>
      </c>
      <c r="D51" s="267" t="s">
        <v>261</v>
      </c>
      <c r="E51" s="284" t="s">
        <v>24</v>
      </c>
      <c r="G51" s="138"/>
      <c r="H51" s="138"/>
      <c r="I51" s="137"/>
      <c r="J51" s="137"/>
      <c r="K51" s="41">
        <f t="shared" si="3"/>
        <v>0</v>
      </c>
    </row>
    <row r="52" spans="1:12" ht="17.25" customHeight="1" thickBot="1">
      <c r="A52" s="210" t="s">
        <v>51</v>
      </c>
      <c r="B52" s="2"/>
      <c r="C52" s="266"/>
      <c r="D52" s="268"/>
      <c r="E52" s="285"/>
      <c r="G52" s="59"/>
      <c r="H52" s="59"/>
      <c r="I52" s="48"/>
      <c r="J52" s="57" t="s">
        <v>49</v>
      </c>
      <c r="K52" s="49">
        <f>SUM(K43:K51)</f>
        <v>31.5</v>
      </c>
      <c r="L52" s="31"/>
    </row>
    <row r="53" spans="1:11" ht="14.25">
      <c r="A53" s="40" t="s">
        <v>266</v>
      </c>
      <c r="B53" s="31"/>
      <c r="C53" s="137">
        <v>1</v>
      </c>
      <c r="D53" s="137">
        <v>2</v>
      </c>
      <c r="E53" s="41">
        <f aca="true" t="shared" si="4" ref="E53:E58">+D53*C53</f>
        <v>2</v>
      </c>
      <c r="G53" s="59"/>
      <c r="H53" s="59"/>
      <c r="I53" s="48"/>
      <c r="J53" s="57" t="s">
        <v>50</v>
      </c>
      <c r="K53" s="53">
        <f>+K52/60</f>
        <v>0.525</v>
      </c>
    </row>
    <row r="54" spans="1:5" ht="14.25">
      <c r="A54" s="40" t="s">
        <v>167</v>
      </c>
      <c r="C54" s="137"/>
      <c r="D54" s="137"/>
      <c r="E54" s="41">
        <f t="shared" si="4"/>
        <v>0</v>
      </c>
    </row>
    <row r="55" spans="1:5" ht="14.25">
      <c r="A55" s="40" t="s">
        <v>52</v>
      </c>
      <c r="B55" s="31"/>
      <c r="C55" s="137">
        <v>1</v>
      </c>
      <c r="D55" s="137">
        <v>3</v>
      </c>
      <c r="E55" s="41">
        <f t="shared" si="4"/>
        <v>3</v>
      </c>
    </row>
    <row r="56" spans="1:5" ht="15" thickBot="1">
      <c r="A56" s="40" t="s">
        <v>267</v>
      </c>
      <c r="B56" s="31"/>
      <c r="C56" s="137">
        <v>1</v>
      </c>
      <c r="D56" s="137">
        <v>2</v>
      </c>
      <c r="E56" s="41">
        <f t="shared" si="4"/>
        <v>2</v>
      </c>
    </row>
    <row r="57" spans="1:11" ht="18.75" customHeight="1">
      <c r="A57" s="139"/>
      <c r="B57" s="140"/>
      <c r="C57" s="137"/>
      <c r="D57" s="137"/>
      <c r="E57" s="41">
        <f t="shared" si="4"/>
        <v>0</v>
      </c>
      <c r="G57" s="210" t="s">
        <v>53</v>
      </c>
      <c r="I57" s="265" t="s">
        <v>23</v>
      </c>
      <c r="J57" s="267" t="s">
        <v>261</v>
      </c>
      <c r="K57" s="284" t="s">
        <v>24</v>
      </c>
    </row>
    <row r="58" spans="1:11" ht="18.75" thickBot="1">
      <c r="A58" s="139"/>
      <c r="B58" s="140"/>
      <c r="C58" s="137"/>
      <c r="D58" s="137"/>
      <c r="E58" s="41">
        <f t="shared" si="4"/>
        <v>0</v>
      </c>
      <c r="G58" s="58" t="s">
        <v>18</v>
      </c>
      <c r="H58" s="31"/>
      <c r="I58" s="266"/>
      <c r="J58" s="268"/>
      <c r="K58" s="285"/>
    </row>
    <row r="59" spans="2:11" ht="15" thickBot="1">
      <c r="B59" s="31"/>
      <c r="C59" s="31"/>
      <c r="D59" s="57" t="s">
        <v>40</v>
      </c>
      <c r="E59" s="49">
        <f>SUM(E53:E58)</f>
        <v>7</v>
      </c>
      <c r="G59" s="183" t="s">
        <v>54</v>
      </c>
      <c r="H59" s="31"/>
      <c r="I59" s="137">
        <v>1</v>
      </c>
      <c r="J59" s="137">
        <v>5</v>
      </c>
      <c r="K59" s="41">
        <f>+J59*I59</f>
        <v>5</v>
      </c>
    </row>
    <row r="60" spans="1:11" ht="14.25">
      <c r="A60" s="31"/>
      <c r="B60" s="31"/>
      <c r="C60" s="31"/>
      <c r="D60" s="57" t="s">
        <v>41</v>
      </c>
      <c r="E60" s="53">
        <f>+E59/60</f>
        <v>0.11666666666666667</v>
      </c>
      <c r="G60" s="183" t="s">
        <v>55</v>
      </c>
      <c r="H60" s="31"/>
      <c r="I60" s="137">
        <f>5.5/20</f>
        <v>0.275</v>
      </c>
      <c r="J60" s="137">
        <v>30</v>
      </c>
      <c r="K60" s="41">
        <f>+J60*I60</f>
        <v>8.25</v>
      </c>
    </row>
    <row r="61" spans="1:11" ht="14.25">
      <c r="A61" s="48"/>
      <c r="B61" s="48"/>
      <c r="C61" s="48"/>
      <c r="D61" s="48"/>
      <c r="E61" s="48"/>
      <c r="G61" s="183" t="s">
        <v>270</v>
      </c>
      <c r="I61" s="137">
        <f>5.5/50</f>
        <v>0.11</v>
      </c>
      <c r="J61" s="137">
        <v>30</v>
      </c>
      <c r="K61" s="41">
        <f>+J61*I61</f>
        <v>3.3</v>
      </c>
    </row>
    <row r="62" spans="1:11" ht="14.25">
      <c r="A62" s="48"/>
      <c r="B62" s="48"/>
      <c r="C62" s="48"/>
      <c r="D62" s="48"/>
      <c r="E62" s="48"/>
      <c r="G62" s="183" t="s">
        <v>56</v>
      </c>
      <c r="I62" s="137">
        <v>1</v>
      </c>
      <c r="J62" s="137">
        <v>5</v>
      </c>
      <c r="K62" s="41">
        <f>+J62*I62</f>
        <v>5</v>
      </c>
    </row>
    <row r="63" spans="7:11" ht="14.25" customHeight="1" thickBot="1">
      <c r="G63" s="234"/>
      <c r="H63" s="140"/>
      <c r="I63" s="137"/>
      <c r="J63" s="137"/>
      <c r="K63" s="41">
        <f>+J63*I63</f>
        <v>0</v>
      </c>
    </row>
    <row r="64" spans="7:11" ht="15" thickBot="1">
      <c r="G64" s="31"/>
      <c r="H64" s="31"/>
      <c r="I64" s="48"/>
      <c r="J64" s="57" t="s">
        <v>40</v>
      </c>
      <c r="K64" s="49">
        <f>SUM(K59:K63)</f>
        <v>21.55</v>
      </c>
    </row>
    <row r="65" spans="7:12" ht="14.25">
      <c r="G65" s="31"/>
      <c r="H65" s="31"/>
      <c r="I65" s="31"/>
      <c r="J65" s="57" t="s">
        <v>41</v>
      </c>
      <c r="K65" s="53">
        <f>+K64/60</f>
        <v>0.3591666666666667</v>
      </c>
      <c r="L65" s="31"/>
    </row>
    <row r="67" spans="1:11" ht="13.5" thickBo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9" ht="23.25">
      <c r="A69" s="38" t="s">
        <v>168</v>
      </c>
    </row>
    <row r="71" ht="13.5" thickBot="1"/>
    <row r="72" spans="1:11" ht="18" customHeight="1">
      <c r="A72" s="58" t="s">
        <v>169</v>
      </c>
      <c r="B72" s="58"/>
      <c r="C72" s="265" t="s">
        <v>23</v>
      </c>
      <c r="D72" s="267" t="s">
        <v>261</v>
      </c>
      <c r="E72" s="284" t="s">
        <v>24</v>
      </c>
      <c r="G72" s="58" t="s">
        <v>271</v>
      </c>
      <c r="I72" s="265" t="s">
        <v>23</v>
      </c>
      <c r="J72" s="267" t="s">
        <v>261</v>
      </c>
      <c r="K72" s="284" t="s">
        <v>24</v>
      </c>
    </row>
    <row r="73" spans="1:11" ht="18.75" thickBot="1">
      <c r="A73" s="58" t="s">
        <v>170</v>
      </c>
      <c r="B73" s="58"/>
      <c r="C73" s="266"/>
      <c r="D73" s="268"/>
      <c r="E73" s="285"/>
      <c r="G73" s="58" t="s">
        <v>272</v>
      </c>
      <c r="I73" s="266"/>
      <c r="J73" s="268"/>
      <c r="K73" s="285"/>
    </row>
    <row r="74" spans="1:12" ht="12.75" customHeight="1">
      <c r="A74" s="280" t="s">
        <v>186</v>
      </c>
      <c r="B74" s="281"/>
      <c r="C74" s="135">
        <v>1</v>
      </c>
      <c r="D74" s="135">
        <f>6*2*60</f>
        <v>720</v>
      </c>
      <c r="E74" s="3">
        <f aca="true" t="shared" si="5" ref="E74:E79">+D74*C74</f>
        <v>720</v>
      </c>
      <c r="F74" s="31"/>
      <c r="G74" s="280" t="s">
        <v>59</v>
      </c>
      <c r="H74" s="281"/>
      <c r="I74" s="136">
        <f>1/4*F106</f>
        <v>37.5</v>
      </c>
      <c r="J74" s="137">
        <v>20</v>
      </c>
      <c r="K74" s="41">
        <f aca="true" t="shared" si="6" ref="K74:K79">+J74*I74</f>
        <v>750</v>
      </c>
      <c r="L74" s="31"/>
    </row>
    <row r="75" spans="1:12" ht="14.25">
      <c r="A75" s="280" t="s">
        <v>187</v>
      </c>
      <c r="B75" s="281"/>
      <c r="C75" s="135">
        <v>1</v>
      </c>
      <c r="D75" s="135">
        <f>6*2*60</f>
        <v>720</v>
      </c>
      <c r="E75" s="3">
        <f t="shared" si="5"/>
        <v>720</v>
      </c>
      <c r="F75" s="31"/>
      <c r="G75" s="280" t="s">
        <v>60</v>
      </c>
      <c r="H75" s="281"/>
      <c r="I75" s="136">
        <f>1/20*F106</f>
        <v>7.5</v>
      </c>
      <c r="J75" s="137">
        <v>30</v>
      </c>
      <c r="K75" s="41">
        <f t="shared" si="6"/>
        <v>225</v>
      </c>
      <c r="L75" s="31"/>
    </row>
    <row r="76" spans="1:12" ht="14.25">
      <c r="A76" s="280" t="s">
        <v>57</v>
      </c>
      <c r="B76" s="281"/>
      <c r="C76" s="135">
        <v>1</v>
      </c>
      <c r="D76" s="135">
        <f>3*60</f>
        <v>180</v>
      </c>
      <c r="E76" s="3">
        <f t="shared" si="5"/>
        <v>180</v>
      </c>
      <c r="F76" s="31"/>
      <c r="G76" s="280" t="s">
        <v>61</v>
      </c>
      <c r="H76" s="281"/>
      <c r="I76" s="137">
        <f>1/20*F106</f>
        <v>7.5</v>
      </c>
      <c r="J76" s="137">
        <v>30</v>
      </c>
      <c r="K76" s="41">
        <f t="shared" si="6"/>
        <v>225</v>
      </c>
      <c r="L76" s="31"/>
    </row>
    <row r="77" spans="1:12" ht="14.25">
      <c r="A77" s="280" t="s">
        <v>188</v>
      </c>
      <c r="B77" s="281"/>
      <c r="C77" s="135">
        <v>1</v>
      </c>
      <c r="D77" s="135">
        <f>6*60</f>
        <v>360</v>
      </c>
      <c r="E77" s="3">
        <f t="shared" si="5"/>
        <v>360</v>
      </c>
      <c r="F77" s="31"/>
      <c r="G77" s="253"/>
      <c r="H77" s="254"/>
      <c r="I77" s="137"/>
      <c r="J77" s="137"/>
      <c r="K77" s="41">
        <f t="shared" si="6"/>
        <v>0</v>
      </c>
      <c r="L77" s="31"/>
    </row>
    <row r="78" spans="1:11" ht="14.25">
      <c r="A78" s="253"/>
      <c r="B78" s="254"/>
      <c r="C78" s="135"/>
      <c r="D78" s="135"/>
      <c r="E78" s="3">
        <f t="shared" si="5"/>
        <v>0</v>
      </c>
      <c r="F78" s="31"/>
      <c r="G78" s="253"/>
      <c r="H78" s="254"/>
      <c r="I78" s="136"/>
      <c r="J78" s="137"/>
      <c r="K78" s="47">
        <f t="shared" si="6"/>
        <v>0</v>
      </c>
    </row>
    <row r="79" spans="1:11" ht="15" thickBot="1">
      <c r="A79" s="253"/>
      <c r="B79" s="254"/>
      <c r="C79" s="135"/>
      <c r="D79" s="135"/>
      <c r="E79" s="3">
        <f t="shared" si="5"/>
        <v>0</v>
      </c>
      <c r="F79" s="31"/>
      <c r="G79" s="253"/>
      <c r="H79" s="254"/>
      <c r="I79" s="136"/>
      <c r="J79" s="137"/>
      <c r="K79" s="47">
        <f t="shared" si="6"/>
        <v>0</v>
      </c>
    </row>
    <row r="80" spans="1:11" ht="15" thickBot="1">
      <c r="A80" s="253"/>
      <c r="B80" s="254"/>
      <c r="C80" s="135"/>
      <c r="D80" s="135"/>
      <c r="E80" s="3">
        <f>+D80*C80</f>
        <v>0</v>
      </c>
      <c r="F80" s="31"/>
      <c r="G80" s="31"/>
      <c r="H80" s="31"/>
      <c r="I80" s="31"/>
      <c r="J80" s="57" t="s">
        <v>12</v>
      </c>
      <c r="K80" s="49">
        <f>SUM(K74:K79)</f>
        <v>1200</v>
      </c>
    </row>
    <row r="81" spans="1:11" ht="15" thickBot="1">
      <c r="A81" s="59"/>
      <c r="B81" s="59"/>
      <c r="C81" s="48"/>
      <c r="D81" s="48"/>
      <c r="E81" s="49">
        <f>SUM(E74:E80)</f>
        <v>1980</v>
      </c>
      <c r="F81" s="31" t="s">
        <v>12</v>
      </c>
      <c r="G81" s="31"/>
      <c r="H81" s="31"/>
      <c r="I81" s="31"/>
      <c r="J81" s="57" t="s">
        <v>58</v>
      </c>
      <c r="K81" s="90">
        <f>+K80/60</f>
        <v>20</v>
      </c>
    </row>
    <row r="82" spans="1:10" ht="14.25">
      <c r="A82" s="59"/>
      <c r="B82" s="59"/>
      <c r="C82" s="48"/>
      <c r="D82" s="48"/>
      <c r="E82" s="53">
        <f>+E81/60</f>
        <v>33</v>
      </c>
      <c r="F82" s="31" t="s">
        <v>58</v>
      </c>
      <c r="G82" s="31"/>
      <c r="H82" s="31"/>
      <c r="I82" s="31"/>
      <c r="J82" s="57"/>
    </row>
    <row r="83" spans="6:10" ht="14.25">
      <c r="F83" s="31"/>
      <c r="G83" s="31"/>
      <c r="H83" s="31"/>
      <c r="I83" s="31"/>
      <c r="J83" s="57"/>
    </row>
    <row r="84" spans="1:10" ht="18.75" thickBot="1">
      <c r="A84" s="60" t="s">
        <v>189</v>
      </c>
      <c r="F84" s="31"/>
      <c r="G84" s="31"/>
      <c r="H84" s="31"/>
      <c r="I84" s="31"/>
      <c r="J84" s="57"/>
    </row>
    <row r="85" spans="1:10" ht="18" customHeight="1">
      <c r="A85" s="60" t="s">
        <v>33</v>
      </c>
      <c r="C85" s="265" t="s">
        <v>23</v>
      </c>
      <c r="D85" s="267" t="s">
        <v>261</v>
      </c>
      <c r="E85" s="284" t="s">
        <v>24</v>
      </c>
      <c r="F85" s="31"/>
      <c r="G85" s="31"/>
      <c r="H85" s="31"/>
      <c r="I85" s="31"/>
      <c r="J85" s="57"/>
    </row>
    <row r="86" spans="1:10" ht="15" thickBot="1">
      <c r="A86" s="282"/>
      <c r="B86" s="283"/>
      <c r="C86" s="266"/>
      <c r="D86" s="268"/>
      <c r="E86" s="285"/>
      <c r="F86" s="31"/>
      <c r="G86" s="31"/>
      <c r="H86" s="31"/>
      <c r="I86" s="31"/>
      <c r="J86" s="57"/>
    </row>
    <row r="87" spans="1:10" ht="14.25">
      <c r="A87" s="280" t="s">
        <v>36</v>
      </c>
      <c r="B87" s="281"/>
      <c r="C87" s="135">
        <v>1</v>
      </c>
      <c r="D87" s="135">
        <v>30</v>
      </c>
      <c r="E87" s="3">
        <f>+D87*C87</f>
        <v>30</v>
      </c>
      <c r="F87" s="31"/>
      <c r="G87" s="31"/>
      <c r="H87" s="31"/>
      <c r="I87" s="31"/>
      <c r="J87" s="57"/>
    </row>
    <row r="88" spans="1:10" ht="14.25">
      <c r="A88" s="280" t="s">
        <v>190</v>
      </c>
      <c r="B88" s="281"/>
      <c r="C88" s="135">
        <v>1</v>
      </c>
      <c r="D88" s="135">
        <v>35</v>
      </c>
      <c r="E88" s="3">
        <f>+D88*C88</f>
        <v>35</v>
      </c>
      <c r="F88" s="31"/>
      <c r="G88" s="31"/>
      <c r="H88" s="31"/>
      <c r="I88" s="31"/>
      <c r="J88" s="57"/>
    </row>
    <row r="89" spans="1:10" ht="14.25">
      <c r="A89" s="280" t="s">
        <v>191</v>
      </c>
      <c r="B89" s="281"/>
      <c r="C89" s="135">
        <v>1</v>
      </c>
      <c r="D89" s="135">
        <f>4*60</f>
        <v>240</v>
      </c>
      <c r="E89" s="3">
        <f>+D89*C89</f>
        <v>240</v>
      </c>
      <c r="F89" s="31"/>
      <c r="G89" s="31"/>
      <c r="H89" s="31"/>
      <c r="I89" s="31"/>
      <c r="J89" s="57"/>
    </row>
    <row r="90" spans="1:10" ht="14.25">
      <c r="A90" s="253"/>
      <c r="B90" s="254"/>
      <c r="C90" s="135"/>
      <c r="D90" s="135"/>
      <c r="E90" s="3">
        <f>+D90*C90</f>
        <v>0</v>
      </c>
      <c r="F90" s="31"/>
      <c r="G90" s="31"/>
      <c r="H90" s="31"/>
      <c r="I90" s="31"/>
      <c r="J90" s="57"/>
    </row>
    <row r="91" spans="1:10" ht="15" thickBot="1">
      <c r="A91" s="253"/>
      <c r="B91" s="254"/>
      <c r="C91" s="135"/>
      <c r="D91" s="135"/>
      <c r="E91" s="3">
        <f>+D91*C91</f>
        <v>0</v>
      </c>
      <c r="F91" s="31"/>
      <c r="G91" s="31"/>
      <c r="H91" s="31"/>
      <c r="I91" s="31"/>
      <c r="J91" s="57"/>
    </row>
    <row r="92" spans="1:10" ht="15" thickBot="1">
      <c r="A92" s="59"/>
      <c r="B92" s="59"/>
      <c r="C92" s="48"/>
      <c r="D92" s="48"/>
      <c r="E92" s="49">
        <f>SUM(E87:E91)</f>
        <v>305</v>
      </c>
      <c r="F92" s="31" t="s">
        <v>12</v>
      </c>
      <c r="G92" s="31"/>
      <c r="H92" s="31"/>
      <c r="I92" s="31"/>
      <c r="J92" s="57"/>
    </row>
    <row r="93" spans="1:10" ht="14.25">
      <c r="A93" s="59"/>
      <c r="B93" s="59"/>
      <c r="C93" s="48"/>
      <c r="D93" s="48"/>
      <c r="E93" s="53">
        <f>+E92/60</f>
        <v>5.083333333333333</v>
      </c>
      <c r="F93" s="31" t="s">
        <v>290</v>
      </c>
      <c r="G93" s="31"/>
      <c r="H93" s="31"/>
      <c r="I93" s="31"/>
      <c r="J93" s="57"/>
    </row>
    <row r="94" spans="6:10" ht="14.25">
      <c r="F94" s="31"/>
      <c r="G94" s="31"/>
      <c r="H94" s="31"/>
      <c r="I94" s="31"/>
      <c r="J94" s="57"/>
    </row>
    <row r="95" spans="1:11" ht="13.5" thickBo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0" ht="14.25">
      <c r="A96" s="59"/>
      <c r="B96" s="59"/>
      <c r="C96" s="48"/>
      <c r="D96" s="48"/>
      <c r="F96" s="31"/>
      <c r="G96" s="31"/>
      <c r="H96" s="31"/>
      <c r="I96" s="31"/>
      <c r="J96" s="57"/>
    </row>
    <row r="97" spans="1:5" ht="23.25">
      <c r="A97" s="38" t="s">
        <v>171</v>
      </c>
      <c r="B97" s="39"/>
      <c r="C97" s="2"/>
      <c r="D97" s="2"/>
      <c r="E97" s="2"/>
    </row>
    <row r="98" spans="1:5" ht="12.75">
      <c r="A98" s="5"/>
      <c r="B98" s="5"/>
      <c r="C98" s="16"/>
      <c r="D98" s="16"/>
      <c r="E98" s="16"/>
    </row>
    <row r="99" spans="1:5" ht="21" thickBot="1">
      <c r="A99" s="61" t="s">
        <v>11</v>
      </c>
      <c r="B99" s="5"/>
      <c r="C99" s="16"/>
      <c r="D99" s="16"/>
      <c r="E99" s="16"/>
    </row>
    <row r="100" spans="1:6" ht="20.25">
      <c r="A100" s="61"/>
      <c r="B100" s="300" t="s">
        <v>62</v>
      </c>
      <c r="C100" s="301"/>
      <c r="D100" s="16"/>
      <c r="E100" s="300" t="s">
        <v>64</v>
      </c>
      <c r="F100" s="301"/>
    </row>
    <row r="101" spans="1:6" ht="18">
      <c r="A101" s="5"/>
      <c r="B101" s="302" t="s">
        <v>63</v>
      </c>
      <c r="C101" s="303"/>
      <c r="E101" s="302" t="s">
        <v>63</v>
      </c>
      <c r="F101" s="303"/>
    </row>
    <row r="102" spans="1:6" ht="12.75">
      <c r="A102" s="2"/>
      <c r="B102" s="12"/>
      <c r="C102" s="11"/>
      <c r="E102" s="12"/>
      <c r="F102" s="11"/>
    </row>
    <row r="103" spans="1:6" ht="12.75">
      <c r="A103" s="2"/>
      <c r="B103" s="62" t="s">
        <v>192</v>
      </c>
      <c r="C103" s="134">
        <v>2.13</v>
      </c>
      <c r="E103" s="62" t="s">
        <v>197</v>
      </c>
      <c r="F103" s="133">
        <v>300</v>
      </c>
    </row>
    <row r="104" spans="1:6" ht="12.75">
      <c r="A104" s="2"/>
      <c r="B104" s="12" t="s">
        <v>193</v>
      </c>
      <c r="C104" s="134">
        <v>2</v>
      </c>
      <c r="E104" s="63" t="s">
        <v>194</v>
      </c>
      <c r="F104" s="35">
        <f>+C105</f>
        <v>2.7</v>
      </c>
    </row>
    <row r="105" spans="1:9" ht="12.75">
      <c r="A105" s="2"/>
      <c r="B105" s="63" t="s">
        <v>194</v>
      </c>
      <c r="C105" s="134">
        <v>2.7</v>
      </c>
      <c r="E105" s="63" t="s">
        <v>198</v>
      </c>
      <c r="F105" s="35">
        <f>+C106</f>
        <v>2.7</v>
      </c>
      <c r="H105" s="273" t="s">
        <v>65</v>
      </c>
      <c r="I105" s="273"/>
    </row>
    <row r="106" spans="1:9" ht="12.75" customHeight="1">
      <c r="A106" s="2"/>
      <c r="B106" s="63" t="s">
        <v>195</v>
      </c>
      <c r="C106" s="134">
        <v>2.7</v>
      </c>
      <c r="E106" s="63" t="s">
        <v>300</v>
      </c>
      <c r="F106" s="71">
        <f>ROUNDUP(F103/C104,0)</f>
        <v>150</v>
      </c>
      <c r="H106" s="271">
        <v>2.95</v>
      </c>
      <c r="I106" s="272"/>
    </row>
    <row r="107" spans="1:11" ht="18" customHeight="1" thickBot="1">
      <c r="A107" s="14"/>
      <c r="B107" s="91" t="s">
        <v>196</v>
      </c>
      <c r="C107" s="92">
        <f>ROUNDUP(+C104*C105*C106*H106,0)</f>
        <v>44</v>
      </c>
      <c r="D107" s="14"/>
      <c r="E107" s="91" t="s">
        <v>196</v>
      </c>
      <c r="F107" s="92">
        <f>ROUNDUP(F103*F104*F105*H106,0)</f>
        <v>6452</v>
      </c>
      <c r="G107" s="14"/>
      <c r="H107" s="14"/>
      <c r="I107" s="14"/>
      <c r="J107" s="14"/>
      <c r="K107" s="14"/>
    </row>
    <row r="108" spans="1:11" ht="12.75">
      <c r="A108" s="2"/>
      <c r="B108" s="12"/>
      <c r="C108" s="11"/>
      <c r="D108" s="2"/>
      <c r="E108" s="12"/>
      <c r="F108" s="11"/>
      <c r="G108" s="2"/>
      <c r="H108" s="2"/>
      <c r="I108" s="2"/>
      <c r="J108" s="2"/>
      <c r="K108" s="2"/>
    </row>
    <row r="109" spans="1:6" ht="12.75">
      <c r="A109" s="2"/>
      <c r="B109" s="12"/>
      <c r="C109" s="85"/>
      <c r="D109" s="2"/>
      <c r="E109" s="12"/>
      <c r="F109" s="85"/>
    </row>
    <row r="110" spans="1:6" ht="20.25">
      <c r="A110" s="61" t="s">
        <v>172</v>
      </c>
      <c r="B110" s="34"/>
      <c r="C110" s="33"/>
      <c r="D110" s="2"/>
      <c r="E110" s="12"/>
      <c r="F110" s="85"/>
    </row>
    <row r="111" spans="1:6" ht="12.75">
      <c r="A111" s="2"/>
      <c r="B111" s="34" t="s">
        <v>199</v>
      </c>
      <c r="C111" s="33" t="s">
        <v>58</v>
      </c>
      <c r="E111" s="34" t="s">
        <v>199</v>
      </c>
      <c r="F111" s="33" t="s">
        <v>58</v>
      </c>
    </row>
    <row r="112" spans="1:6" ht="12.75">
      <c r="A112" s="1" t="s">
        <v>201</v>
      </c>
      <c r="B112" s="130">
        <v>32</v>
      </c>
      <c r="C112" s="35">
        <f>+ROUNDUP(C107/B112,1)</f>
        <v>1.4000000000000001</v>
      </c>
      <c r="E112" s="130">
        <v>32</v>
      </c>
      <c r="F112" s="35">
        <f>+ROUNDUP(F107/E112,1)</f>
        <v>201.7</v>
      </c>
    </row>
    <row r="113" spans="1:6" ht="12.75">
      <c r="A113" s="2"/>
      <c r="B113" s="12"/>
      <c r="C113" s="11"/>
      <c r="E113" s="12"/>
      <c r="F113" s="11"/>
    </row>
    <row r="114" spans="1:11" ht="13.5" thickBot="1">
      <c r="A114" s="14"/>
      <c r="B114" s="13"/>
      <c r="C114" s="86"/>
      <c r="D114" s="14"/>
      <c r="E114" s="13"/>
      <c r="F114" s="86"/>
      <c r="G114" s="14"/>
      <c r="H114" s="14"/>
      <c r="I114" s="14"/>
      <c r="J114" s="14"/>
      <c r="K114" s="14"/>
    </row>
    <row r="115" spans="1:11" ht="12.75">
      <c r="A115" s="2"/>
      <c r="B115" s="12"/>
      <c r="C115" s="11"/>
      <c r="D115" s="2"/>
      <c r="E115" s="12"/>
      <c r="F115" s="11"/>
      <c r="G115" s="2"/>
      <c r="H115" s="2"/>
      <c r="I115" s="2"/>
      <c r="J115" s="2"/>
      <c r="K115" s="2"/>
    </row>
    <row r="116" spans="1:11" ht="20.25">
      <c r="A116" s="61" t="s">
        <v>66</v>
      </c>
      <c r="B116" s="12"/>
      <c r="C116" s="11"/>
      <c r="D116" s="2"/>
      <c r="E116" s="12"/>
      <c r="F116" s="11"/>
      <c r="G116" s="2"/>
      <c r="H116" s="2"/>
      <c r="I116" s="2"/>
      <c r="J116" s="2"/>
      <c r="K116" s="2"/>
    </row>
    <row r="117" spans="2:6" ht="18" customHeight="1">
      <c r="B117" s="34" t="s">
        <v>202</v>
      </c>
      <c r="C117" s="11"/>
      <c r="E117" s="12"/>
      <c r="F117" s="255" t="s">
        <v>204</v>
      </c>
    </row>
    <row r="118" spans="1:7" ht="12.75" customHeight="1">
      <c r="A118" s="298" t="s">
        <v>203</v>
      </c>
      <c r="B118" s="34" t="s">
        <v>273</v>
      </c>
      <c r="C118" s="33" t="s">
        <v>58</v>
      </c>
      <c r="E118" s="12"/>
      <c r="F118" s="256"/>
      <c r="G118" s="9"/>
    </row>
    <row r="119" spans="1:6" ht="12.75">
      <c r="A119" s="299"/>
      <c r="B119" s="159">
        <v>3</v>
      </c>
      <c r="C119" s="35">
        <f>ROUNDUP(B119/60*C104,1)</f>
        <v>0.1</v>
      </c>
      <c r="E119" s="12"/>
      <c r="F119" s="35">
        <f>ROUNDUP(B119/60*F103,1)</f>
        <v>15</v>
      </c>
    </row>
    <row r="120" spans="1:11" ht="13.5" thickBot="1">
      <c r="A120" s="14"/>
      <c r="B120" s="13"/>
      <c r="C120" s="15"/>
      <c r="D120" s="14"/>
      <c r="E120" s="13"/>
      <c r="F120" s="15"/>
      <c r="G120" s="14"/>
      <c r="H120" s="14"/>
      <c r="I120" s="14"/>
      <c r="J120" s="14"/>
      <c r="K120" s="14"/>
    </row>
    <row r="121" spans="1:11" ht="12.75">
      <c r="A121" s="2"/>
      <c r="B121" s="12"/>
      <c r="C121" s="11"/>
      <c r="D121" s="2"/>
      <c r="E121" s="12"/>
      <c r="F121" s="11"/>
      <c r="G121" s="2"/>
      <c r="H121" s="2"/>
      <c r="I121" s="2"/>
      <c r="J121" s="2"/>
      <c r="K121" s="2"/>
    </row>
    <row r="122" spans="1:11" ht="20.25">
      <c r="A122" s="61" t="s">
        <v>71</v>
      </c>
      <c r="B122" s="12"/>
      <c r="C122" s="11"/>
      <c r="D122" s="2"/>
      <c r="E122" s="12"/>
      <c r="F122" s="11"/>
      <c r="G122" s="257" t="s">
        <v>295</v>
      </c>
      <c r="H122" s="258"/>
      <c r="I122" s="258"/>
      <c r="J122" s="258"/>
      <c r="K122" s="259"/>
    </row>
    <row r="123" spans="2:11" ht="12.75">
      <c r="B123" s="12"/>
      <c r="C123" s="11"/>
      <c r="E123" s="12"/>
      <c r="F123" s="11"/>
      <c r="G123" s="65" t="s">
        <v>79</v>
      </c>
      <c r="H123" s="65"/>
      <c r="I123" s="65"/>
      <c r="J123" s="66"/>
      <c r="K123" s="132">
        <v>2.16</v>
      </c>
    </row>
    <row r="124" spans="2:11" ht="12.75" customHeight="1">
      <c r="B124" s="12"/>
      <c r="C124" s="33" t="s">
        <v>58</v>
      </c>
      <c r="E124" s="12"/>
      <c r="F124" s="33" t="s">
        <v>58</v>
      </c>
      <c r="G124" s="310" t="s">
        <v>274</v>
      </c>
      <c r="H124" s="311"/>
      <c r="I124" s="311"/>
      <c r="J124" s="312"/>
      <c r="K124" s="260">
        <v>0.4</v>
      </c>
    </row>
    <row r="125" spans="1:11" ht="12.75">
      <c r="A125" s="32" t="s">
        <v>205</v>
      </c>
      <c r="B125" s="12"/>
      <c r="C125" s="35">
        <f>ROUNDUP(+K138/K128*C104,1)</f>
        <v>0.7</v>
      </c>
      <c r="E125" s="12"/>
      <c r="F125" s="35">
        <f>+ROUNDUP(C125*K175,1)</f>
        <v>105</v>
      </c>
      <c r="G125" s="313"/>
      <c r="H125" s="314"/>
      <c r="I125" s="314"/>
      <c r="J125" s="315"/>
      <c r="K125" s="261"/>
    </row>
    <row r="126" spans="2:11" ht="12.75" customHeight="1">
      <c r="B126" s="292" t="s">
        <v>206</v>
      </c>
      <c r="C126" s="11"/>
      <c r="E126" s="12"/>
      <c r="F126" s="11"/>
      <c r="G126" s="23" t="s">
        <v>67</v>
      </c>
      <c r="H126" s="67"/>
      <c r="I126" s="67"/>
      <c r="J126" s="36"/>
      <c r="K126" s="68">
        <f>+K124+K123</f>
        <v>2.56</v>
      </c>
    </row>
    <row r="127" spans="2:11" ht="12.75" customHeight="1" thickBot="1">
      <c r="B127" s="292"/>
      <c r="C127" s="33" t="s">
        <v>58</v>
      </c>
      <c r="E127" s="12"/>
      <c r="F127" s="33" t="s">
        <v>58</v>
      </c>
      <c r="G127" s="93"/>
      <c r="H127" s="93"/>
      <c r="I127" s="93"/>
      <c r="K127" s="69"/>
    </row>
    <row r="128" spans="1:11" ht="12.75" customHeight="1">
      <c r="A128" s="219" t="s">
        <v>207</v>
      </c>
      <c r="B128" s="159">
        <v>0.45</v>
      </c>
      <c r="C128" s="35">
        <f>+ROUNDUP(B128/60*J138*C104,1)</f>
        <v>0.2</v>
      </c>
      <c r="E128" s="12"/>
      <c r="F128" s="35">
        <f>+ROUNDUP(C128*K175,1)</f>
        <v>30</v>
      </c>
      <c r="G128" s="274" t="s">
        <v>76</v>
      </c>
      <c r="H128" s="275"/>
      <c r="I128" s="275"/>
      <c r="J128" s="276"/>
      <c r="K128" s="306">
        <f>1.2/K126*60</f>
        <v>28.125</v>
      </c>
    </row>
    <row r="129" spans="1:11" ht="13.5" customHeight="1" thickBot="1">
      <c r="A129" s="220" t="s">
        <v>208</v>
      </c>
      <c r="B129" s="12"/>
      <c r="C129" s="64" t="s">
        <v>72</v>
      </c>
      <c r="E129" s="12"/>
      <c r="F129" s="64" t="s">
        <v>72</v>
      </c>
      <c r="G129" s="277" t="s">
        <v>77</v>
      </c>
      <c r="H129" s="278"/>
      <c r="I129" s="278"/>
      <c r="J129" s="279"/>
      <c r="K129" s="307"/>
    </row>
    <row r="130" spans="2:6" ht="12.75">
      <c r="B130" s="12"/>
      <c r="C130" s="35">
        <f>+C125+C128</f>
        <v>0.8999999999999999</v>
      </c>
      <c r="E130" s="12"/>
      <c r="F130" s="35">
        <f>+F125+F128</f>
        <v>135</v>
      </c>
    </row>
    <row r="131" spans="2:11" ht="15.75">
      <c r="B131" s="12"/>
      <c r="C131" s="85"/>
      <c r="D131" s="2"/>
      <c r="E131" s="12"/>
      <c r="F131" s="33"/>
      <c r="G131" s="257" t="s">
        <v>68</v>
      </c>
      <c r="H131" s="258"/>
      <c r="I131" s="258"/>
      <c r="J131" s="258"/>
      <c r="K131" s="259"/>
    </row>
    <row r="132" spans="2:11" ht="15.75" customHeight="1">
      <c r="B132" s="12"/>
      <c r="C132" s="85"/>
      <c r="D132" s="2"/>
      <c r="E132" s="12"/>
      <c r="F132" s="33"/>
      <c r="G132" s="250"/>
      <c r="H132" s="249"/>
      <c r="I132" s="262" t="s">
        <v>69</v>
      </c>
      <c r="J132" s="262" t="s">
        <v>70</v>
      </c>
      <c r="K132" s="316" t="s">
        <v>291</v>
      </c>
    </row>
    <row r="133" spans="2:11" ht="15.75">
      <c r="B133" s="12"/>
      <c r="C133" s="85"/>
      <c r="D133" s="2"/>
      <c r="E133" s="12"/>
      <c r="F133" s="33"/>
      <c r="G133" s="206"/>
      <c r="H133" s="205"/>
      <c r="I133" s="263"/>
      <c r="J133" s="263"/>
      <c r="K133" s="317"/>
    </row>
    <row r="134" spans="2:11" ht="15.75">
      <c r="B134" s="12"/>
      <c r="C134" s="85"/>
      <c r="D134" s="2"/>
      <c r="E134" s="12"/>
      <c r="F134" s="33"/>
      <c r="G134" s="308"/>
      <c r="H134" s="309"/>
      <c r="I134" s="264"/>
      <c r="J134" s="264"/>
      <c r="K134" s="318"/>
    </row>
    <row r="135" spans="2:11" ht="12.75">
      <c r="B135" s="12"/>
      <c r="C135" s="85"/>
      <c r="D135" s="2"/>
      <c r="E135" s="12"/>
      <c r="F135" s="33"/>
      <c r="G135" s="252" t="s">
        <v>209</v>
      </c>
      <c r="H135" s="251"/>
      <c r="I135" s="131">
        <v>1.67</v>
      </c>
      <c r="J135" s="236">
        <v>3</v>
      </c>
      <c r="K135" s="21">
        <f>ROUND(J135*I135/1.2+0.1,1)</f>
        <v>4.3</v>
      </c>
    </row>
    <row r="136" spans="2:11" ht="12.75">
      <c r="B136" s="12"/>
      <c r="C136" s="85"/>
      <c r="D136" s="2"/>
      <c r="E136" s="12"/>
      <c r="F136" s="33"/>
      <c r="G136" s="252" t="s">
        <v>210</v>
      </c>
      <c r="H136" s="251"/>
      <c r="I136" s="131">
        <v>1.3</v>
      </c>
      <c r="J136" s="236">
        <v>2</v>
      </c>
      <c r="K136" s="21">
        <f>ROUND(J136*I136/1.2+0.1,1)</f>
        <v>2.3</v>
      </c>
    </row>
    <row r="137" spans="2:11" ht="12.75">
      <c r="B137" s="12"/>
      <c r="C137" s="85"/>
      <c r="D137" s="2"/>
      <c r="E137" s="12"/>
      <c r="F137" s="33"/>
      <c r="G137" s="252" t="s">
        <v>211</v>
      </c>
      <c r="H137" s="251"/>
      <c r="I137" s="131">
        <v>1.3</v>
      </c>
      <c r="J137" s="236">
        <v>2</v>
      </c>
      <c r="K137" s="21">
        <f>ROUND(J137*I137/1.2+0.1,1)</f>
        <v>2.3</v>
      </c>
    </row>
    <row r="138" spans="2:11" ht="12.75">
      <c r="B138" s="12"/>
      <c r="C138" s="85"/>
      <c r="D138" s="2"/>
      <c r="E138" s="12"/>
      <c r="F138" s="33"/>
      <c r="G138" s="2"/>
      <c r="J138" s="22">
        <f>SUM(J135:J137)</f>
        <v>7</v>
      </c>
      <c r="K138" s="21">
        <f>SUM(K135:K137)</f>
        <v>8.899999999999999</v>
      </c>
    </row>
    <row r="139" spans="1:11" ht="13.5" thickBot="1">
      <c r="A139" s="14"/>
      <c r="B139" s="13"/>
      <c r="C139" s="86"/>
      <c r="D139" s="14"/>
      <c r="E139" s="13"/>
      <c r="F139" s="169"/>
      <c r="G139" s="14"/>
      <c r="H139" s="14"/>
      <c r="I139" s="14"/>
      <c r="J139" s="14"/>
      <c r="K139" s="14"/>
    </row>
    <row r="140" spans="1:11" ht="12.75">
      <c r="A140" s="2"/>
      <c r="B140" s="12"/>
      <c r="C140" s="85"/>
      <c r="D140" s="2"/>
      <c r="E140" s="12"/>
      <c r="F140" s="85"/>
      <c r="G140" s="2"/>
      <c r="H140" s="2"/>
      <c r="I140" s="2"/>
      <c r="J140" s="2"/>
      <c r="K140" s="2"/>
    </row>
    <row r="141" spans="1:11" ht="21" thickBot="1">
      <c r="A141" s="61" t="s">
        <v>173</v>
      </c>
      <c r="B141" s="12"/>
      <c r="C141" s="85"/>
      <c r="D141" s="2"/>
      <c r="E141" s="12"/>
      <c r="F141" s="33"/>
      <c r="G141" s="163" t="s">
        <v>212</v>
      </c>
      <c r="H141" s="164"/>
      <c r="I141" s="243">
        <v>20</v>
      </c>
      <c r="J141" t="s">
        <v>74</v>
      </c>
      <c r="K141" s="2"/>
    </row>
    <row r="142" spans="1:11" ht="15.75">
      <c r="A142" s="2"/>
      <c r="B142" s="34" t="s">
        <v>218</v>
      </c>
      <c r="C142" s="33" t="s">
        <v>58</v>
      </c>
      <c r="D142" s="2"/>
      <c r="E142" s="12"/>
      <c r="F142" s="33" t="s">
        <v>58</v>
      </c>
      <c r="G142" s="269" t="s">
        <v>289</v>
      </c>
      <c r="H142" s="270"/>
      <c r="I142" s="162" t="s">
        <v>12</v>
      </c>
      <c r="J142" s="2"/>
      <c r="K142" s="2"/>
    </row>
    <row r="143" spans="1:11" ht="12.75">
      <c r="A143" s="226" t="s">
        <v>190</v>
      </c>
      <c r="B143" s="130">
        <v>50</v>
      </c>
      <c r="C143" s="35">
        <f>+ROUNDUP(C104/B143,1)</f>
        <v>0.1</v>
      </c>
      <c r="D143" s="2"/>
      <c r="E143" s="12"/>
      <c r="F143" s="35">
        <f>+C143*F106</f>
        <v>15</v>
      </c>
      <c r="G143" s="161" t="s">
        <v>213</v>
      </c>
      <c r="H143" s="160"/>
      <c r="I143" s="244">
        <v>8</v>
      </c>
      <c r="J143" s="2"/>
      <c r="K143" s="2"/>
    </row>
    <row r="144" spans="1:11" ht="12.75">
      <c r="A144" s="2"/>
      <c r="B144" s="12"/>
      <c r="C144" s="85"/>
      <c r="D144" s="2"/>
      <c r="E144" s="12"/>
      <c r="F144" s="33"/>
      <c r="G144" s="161" t="s">
        <v>214</v>
      </c>
      <c r="H144" s="160"/>
      <c r="I144" s="244">
        <v>10</v>
      </c>
      <c r="J144" s="2"/>
      <c r="K144" s="2"/>
    </row>
    <row r="145" spans="1:11" ht="12.75">
      <c r="A145" s="2"/>
      <c r="B145" s="34" t="s">
        <v>218</v>
      </c>
      <c r="C145" s="33" t="s">
        <v>58</v>
      </c>
      <c r="D145" s="2"/>
      <c r="E145" s="12"/>
      <c r="F145" s="33" t="s">
        <v>58</v>
      </c>
      <c r="G145" s="161" t="s">
        <v>215</v>
      </c>
      <c r="H145" s="160"/>
      <c r="I145" s="244">
        <v>15</v>
      </c>
      <c r="J145" s="2"/>
      <c r="K145" s="2"/>
    </row>
    <row r="146" spans="1:11" ht="12.75">
      <c r="A146" s="226" t="s">
        <v>73</v>
      </c>
      <c r="B146" s="130">
        <v>5.9</v>
      </c>
      <c r="C146" s="35">
        <f>+ROUNDUP(C104/B146,1)</f>
        <v>0.4</v>
      </c>
      <c r="D146" s="2"/>
      <c r="E146" s="12"/>
      <c r="F146" s="35">
        <f>+C146*F106</f>
        <v>60</v>
      </c>
      <c r="G146" s="161" t="s">
        <v>216</v>
      </c>
      <c r="H146" s="160"/>
      <c r="I146" s="244">
        <v>6</v>
      </c>
      <c r="J146" s="2"/>
      <c r="K146" s="2"/>
    </row>
    <row r="147" spans="1:11" ht="12.75">
      <c r="A147" s="2"/>
      <c r="B147" s="12"/>
      <c r="C147" s="85"/>
      <c r="D147" s="2"/>
      <c r="E147" s="12"/>
      <c r="F147" s="33"/>
      <c r="G147" s="161" t="s">
        <v>217</v>
      </c>
      <c r="H147" s="160"/>
      <c r="I147" s="244">
        <v>20</v>
      </c>
      <c r="J147" s="2"/>
      <c r="K147" s="2"/>
    </row>
    <row r="148" spans="1:11" ht="13.5" thickBot="1">
      <c r="A148" s="2"/>
      <c r="B148" s="12"/>
      <c r="C148" s="33" t="s">
        <v>72</v>
      </c>
      <c r="D148" s="2"/>
      <c r="E148" s="12"/>
      <c r="F148" s="33" t="s">
        <v>72</v>
      </c>
      <c r="G148" s="161" t="s">
        <v>275</v>
      </c>
      <c r="H148" s="160"/>
      <c r="I148" s="245">
        <v>3</v>
      </c>
      <c r="J148" s="2"/>
      <c r="K148" s="2"/>
    </row>
    <row r="149" spans="1:10" ht="12.75">
      <c r="A149" s="2"/>
      <c r="B149" s="12"/>
      <c r="C149" s="35">
        <f>+C146+C143</f>
        <v>0.5</v>
      </c>
      <c r="D149" s="2"/>
      <c r="E149" s="12"/>
      <c r="F149" s="35">
        <f>+F146+F143</f>
        <v>75</v>
      </c>
      <c r="G149" s="2"/>
      <c r="I149" s="246">
        <f>SUM(I143:I148)</f>
        <v>62</v>
      </c>
      <c r="J149" t="str">
        <f>CONCATENATE("minutes/",I141," feet")</f>
        <v>minutes/20 feet</v>
      </c>
    </row>
    <row r="150" spans="1:9" ht="12.75">
      <c r="A150" s="2"/>
      <c r="B150" s="12"/>
      <c r="C150" s="85"/>
      <c r="D150" s="2"/>
      <c r="E150" s="12"/>
      <c r="F150" s="33"/>
      <c r="G150" s="2"/>
      <c r="H150" s="2"/>
      <c r="I150" s="9"/>
    </row>
    <row r="151" spans="1:11" ht="12.75">
      <c r="A151" s="2"/>
      <c r="B151" s="12"/>
      <c r="C151" s="85"/>
      <c r="D151" s="2"/>
      <c r="E151" s="12"/>
      <c r="F151" s="33"/>
      <c r="G151" s="2"/>
      <c r="H151" s="2"/>
      <c r="I151" s="247">
        <f>ROUND(+I141/3.28/I149*60,1)</f>
        <v>5.9</v>
      </c>
      <c r="J151" s="93" t="s">
        <v>276</v>
      </c>
      <c r="K151" s="2"/>
    </row>
    <row r="152" spans="1:11" ht="12.75">
      <c r="A152" s="2"/>
      <c r="B152" s="12"/>
      <c r="C152" s="85"/>
      <c r="D152" s="2"/>
      <c r="E152" s="12"/>
      <c r="F152" s="33"/>
      <c r="G152" s="2"/>
      <c r="H152" s="2"/>
      <c r="K152" s="2"/>
    </row>
    <row r="153" spans="1:11" ht="13.5" thickBot="1">
      <c r="A153" s="14"/>
      <c r="B153" s="13"/>
      <c r="C153" s="86"/>
      <c r="D153" s="14"/>
      <c r="E153" s="13"/>
      <c r="F153" s="86"/>
      <c r="G153" s="14"/>
      <c r="H153" s="14"/>
      <c r="I153" s="14"/>
      <c r="J153" s="14"/>
      <c r="K153" s="14"/>
    </row>
    <row r="154" spans="1:11" ht="12.75">
      <c r="A154" s="2"/>
      <c r="B154" s="12"/>
      <c r="C154" s="85"/>
      <c r="D154" s="2"/>
      <c r="E154" s="12"/>
      <c r="F154" s="33"/>
      <c r="G154" s="2"/>
      <c r="H154" s="2"/>
      <c r="I154" s="2"/>
      <c r="J154" s="2"/>
      <c r="K154" s="2"/>
    </row>
    <row r="155" spans="1:11" ht="20.25">
      <c r="A155" s="61" t="s">
        <v>174</v>
      </c>
      <c r="B155" s="12"/>
      <c r="C155" s="85"/>
      <c r="D155" s="2"/>
      <c r="E155" s="12"/>
      <c r="F155" s="33"/>
      <c r="G155" s="257" t="s">
        <v>78</v>
      </c>
      <c r="H155" s="258"/>
      <c r="I155" s="258"/>
      <c r="J155" s="258"/>
      <c r="K155" s="259"/>
    </row>
    <row r="156" spans="1:11" ht="20.25">
      <c r="A156" s="61"/>
      <c r="B156" s="12"/>
      <c r="C156" s="85"/>
      <c r="D156" s="2"/>
      <c r="E156" s="12"/>
      <c r="F156" s="33"/>
      <c r="G156" s="65" t="s">
        <v>79</v>
      </c>
      <c r="H156" s="65"/>
      <c r="I156" s="65"/>
      <c r="J156" s="66"/>
      <c r="K156" s="132">
        <v>2.16</v>
      </c>
    </row>
    <row r="157" spans="1:11" ht="20.25" customHeight="1">
      <c r="A157" s="61"/>
      <c r="B157" s="296" t="s">
        <v>298</v>
      </c>
      <c r="C157" s="297"/>
      <c r="E157" s="34"/>
      <c r="F157" s="33"/>
      <c r="G157" s="310" t="s">
        <v>277</v>
      </c>
      <c r="H157" s="311"/>
      <c r="I157" s="311"/>
      <c r="J157" s="312"/>
      <c r="K157" s="260">
        <v>2</v>
      </c>
    </row>
    <row r="158" spans="2:11" ht="15">
      <c r="B158" s="369">
        <v>42</v>
      </c>
      <c r="C158" s="370"/>
      <c r="E158" s="34"/>
      <c r="F158" s="33"/>
      <c r="G158" s="313"/>
      <c r="H158" s="314"/>
      <c r="I158" s="314"/>
      <c r="J158" s="315"/>
      <c r="K158" s="261"/>
    </row>
    <row r="159" spans="1:11" ht="12.75">
      <c r="A159" s="2"/>
      <c r="B159" s="34"/>
      <c r="C159" s="33" t="s">
        <v>75</v>
      </c>
      <c r="E159" s="34"/>
      <c r="F159" s="33" t="s">
        <v>75</v>
      </c>
      <c r="G159" s="23" t="s">
        <v>80</v>
      </c>
      <c r="H159" s="67"/>
      <c r="I159" s="67"/>
      <c r="J159" s="36"/>
      <c r="K159" s="68">
        <f>+K157+K156*2</f>
        <v>6.32</v>
      </c>
    </row>
    <row r="160" spans="1:11" ht="13.5" thickBot="1">
      <c r="A160" s="25" t="s">
        <v>219</v>
      </c>
      <c r="B160" s="34"/>
      <c r="C160" s="19">
        <f>C103*B158</f>
        <v>89.46</v>
      </c>
      <c r="E160" s="34"/>
      <c r="F160" s="35">
        <f>+F106*C160</f>
        <v>13418.999999999998</v>
      </c>
      <c r="G160" s="93"/>
      <c r="H160" s="93"/>
      <c r="I160" s="93"/>
      <c r="K160" s="69"/>
    </row>
    <row r="161" spans="1:11" ht="12.75" customHeight="1">
      <c r="A161" s="2"/>
      <c r="B161" s="34"/>
      <c r="C161" s="33" t="s">
        <v>58</v>
      </c>
      <c r="E161" s="34"/>
      <c r="F161" s="33" t="s">
        <v>58</v>
      </c>
      <c r="G161" s="371" t="s">
        <v>76</v>
      </c>
      <c r="H161" s="372"/>
      <c r="I161" s="372"/>
      <c r="J161" s="373"/>
      <c r="K161" s="306">
        <f>2.4/K159*60</f>
        <v>22.784810126582276</v>
      </c>
    </row>
    <row r="162" spans="1:11" ht="13.5" customHeight="1" thickBot="1">
      <c r="A162" s="32" t="s">
        <v>220</v>
      </c>
      <c r="B162" s="34"/>
      <c r="C162" s="35">
        <f>ROUNDUP(C160/$K$161,1)</f>
        <v>4</v>
      </c>
      <c r="E162" s="34"/>
      <c r="F162" s="35">
        <f>ROUNDUP(F160/$K$161,1)</f>
        <v>589</v>
      </c>
      <c r="G162" s="374" t="s">
        <v>77</v>
      </c>
      <c r="H162" s="375"/>
      <c r="I162" s="375"/>
      <c r="J162" s="376"/>
      <c r="K162" s="307"/>
    </row>
    <row r="163" spans="1:6" ht="6" customHeight="1" thickBot="1">
      <c r="A163" s="61"/>
      <c r="B163" s="12"/>
      <c r="C163" s="85"/>
      <c r="D163" s="2"/>
      <c r="E163" s="12"/>
      <c r="F163" s="33"/>
    </row>
    <row r="164" spans="2:8" ht="18" customHeight="1">
      <c r="B164" s="12"/>
      <c r="C164" s="85"/>
      <c r="D164" s="2"/>
      <c r="E164" s="12"/>
      <c r="F164" s="33"/>
      <c r="H164" s="211" t="s">
        <v>221</v>
      </c>
    </row>
    <row r="165" spans="2:8" ht="18" customHeight="1" thickBot="1">
      <c r="B165" s="12"/>
      <c r="C165" s="85"/>
      <c r="D165" s="2"/>
      <c r="E165" s="12"/>
      <c r="F165" s="33"/>
      <c r="H165" s="94">
        <f>+C107/B158/C103</f>
        <v>0.4918399284596468</v>
      </c>
    </row>
    <row r="166" spans="1:11" ht="13.5" thickBot="1">
      <c r="A166" s="14"/>
      <c r="B166" s="13"/>
      <c r="C166" s="15"/>
      <c r="D166" s="14"/>
      <c r="E166" s="13"/>
      <c r="F166" s="15"/>
      <c r="G166" s="13"/>
      <c r="H166" s="14"/>
      <c r="I166" s="14"/>
      <c r="J166" s="14"/>
      <c r="K166" s="14"/>
    </row>
    <row r="167" spans="1:11" ht="12.75">
      <c r="A167" s="2"/>
      <c r="B167" s="12"/>
      <c r="C167" s="11"/>
      <c r="D167" s="2"/>
      <c r="E167" s="12"/>
      <c r="F167" s="11"/>
      <c r="G167" s="2"/>
      <c r="H167" s="2"/>
      <c r="I167" s="2"/>
      <c r="J167" s="2"/>
      <c r="K167" s="2"/>
    </row>
    <row r="168" spans="1:11" ht="23.25" customHeight="1">
      <c r="A168" s="61" t="s">
        <v>175</v>
      </c>
      <c r="B168" s="34"/>
      <c r="C168" s="213" t="s">
        <v>84</v>
      </c>
      <c r="D168" s="2"/>
      <c r="E168" s="12"/>
      <c r="F168" s="11"/>
      <c r="G168" s="257" t="s">
        <v>81</v>
      </c>
      <c r="H168" s="258"/>
      <c r="I168" s="258"/>
      <c r="J168" s="258"/>
      <c r="K168" s="259"/>
    </row>
    <row r="169" spans="2:11" ht="20.25" customHeight="1">
      <c r="B169" s="34"/>
      <c r="C169" s="144">
        <v>39</v>
      </c>
      <c r="D169" s="2"/>
      <c r="E169" s="12"/>
      <c r="F169" s="11"/>
      <c r="G169" s="32"/>
      <c r="H169" s="212" t="s">
        <v>223</v>
      </c>
      <c r="I169" s="142">
        <v>32</v>
      </c>
      <c r="J169" s="377" t="s">
        <v>224</v>
      </c>
      <c r="K169" s="378"/>
    </row>
    <row r="170" spans="2:11" ht="20.25" customHeight="1">
      <c r="B170" s="292" t="s">
        <v>83</v>
      </c>
      <c r="C170" s="11"/>
      <c r="D170" s="2"/>
      <c r="E170" s="34"/>
      <c r="F170" s="294" t="s">
        <v>292</v>
      </c>
      <c r="G170" s="95"/>
      <c r="H170" s="212" t="s">
        <v>222</v>
      </c>
      <c r="I170" s="143">
        <v>1.01</v>
      </c>
      <c r="J170" s="378"/>
      <c r="K170" s="378"/>
    </row>
    <row r="171" spans="1:12" ht="12.75">
      <c r="A171" s="2"/>
      <c r="B171" s="293"/>
      <c r="C171" s="33" t="s">
        <v>58</v>
      </c>
      <c r="E171" s="34"/>
      <c r="F171" s="295"/>
      <c r="J171" s="378"/>
      <c r="K171" s="378"/>
      <c r="L171" s="9"/>
    </row>
    <row r="172" spans="1:11" ht="15.75" thickBot="1">
      <c r="A172" s="32" t="s">
        <v>85</v>
      </c>
      <c r="B172" s="159">
        <v>1.3</v>
      </c>
      <c r="C172" s="35">
        <f>ROUNDUP(B158*B172/60,1)</f>
        <v>1</v>
      </c>
      <c r="E172" s="34"/>
      <c r="F172" s="35">
        <f>ROUNDUP(C172*K175,1)</f>
        <v>150</v>
      </c>
      <c r="G172" s="379" t="s">
        <v>278</v>
      </c>
      <c r="H172" s="380"/>
      <c r="I172" s="70">
        <f>POWER(I169/1000,2)*PI()/4*1000*I170</f>
        <v>0.8122901965121768</v>
      </c>
      <c r="J172" s="304">
        <f>+I172*C103/C107*B158</f>
        <v>1.651533658635894</v>
      </c>
      <c r="K172" s="305"/>
    </row>
    <row r="173" spans="2:6" ht="15" customHeight="1">
      <c r="B173" s="12"/>
      <c r="C173" s="11"/>
      <c r="E173" s="34"/>
      <c r="F173" s="11"/>
    </row>
    <row r="174" spans="2:6" ht="15" customHeight="1" thickBot="1">
      <c r="B174" s="12"/>
      <c r="C174" s="11"/>
      <c r="E174" s="34"/>
      <c r="F174" s="11"/>
    </row>
    <row r="175" spans="1:11" ht="15" customHeight="1" thickBot="1">
      <c r="A175" s="32" t="s">
        <v>86</v>
      </c>
      <c r="B175" s="12"/>
      <c r="C175" s="35">
        <f>ROUND(+J172*C107,0)</f>
        <v>73</v>
      </c>
      <c r="E175" s="34"/>
      <c r="F175" s="35">
        <f>ROUND(+J172*F107,0)</f>
        <v>10656</v>
      </c>
      <c r="H175" s="319" t="s">
        <v>82</v>
      </c>
      <c r="I175" s="320"/>
      <c r="J175" s="321"/>
      <c r="K175" s="96">
        <f>+F106</f>
        <v>150</v>
      </c>
    </row>
    <row r="176" spans="1:11" ht="13.5" thickBot="1">
      <c r="A176" s="14"/>
      <c r="B176" s="13"/>
      <c r="C176" s="15"/>
      <c r="D176" s="14"/>
      <c r="E176" s="13"/>
      <c r="F176" s="15"/>
      <c r="G176" s="14"/>
      <c r="H176" s="14"/>
      <c r="I176" s="14"/>
      <c r="J176" s="14"/>
      <c r="K176" s="14"/>
    </row>
    <row r="178" spans="1:6" ht="20.25">
      <c r="A178" s="61" t="s">
        <v>263</v>
      </c>
      <c r="B178" s="2"/>
      <c r="C178" s="2"/>
      <c r="D178" s="2"/>
      <c r="E178" s="2"/>
      <c r="F178" s="2"/>
    </row>
    <row r="179" spans="2:6" ht="12.75">
      <c r="B179" s="156" t="s">
        <v>87</v>
      </c>
      <c r="C179" s="2"/>
      <c r="D179" s="2"/>
      <c r="E179" s="2"/>
      <c r="F179" s="2"/>
    </row>
    <row r="180" spans="2:6" ht="12.75" customHeight="1">
      <c r="B180" s="16" t="s">
        <v>88</v>
      </c>
      <c r="C180" s="2"/>
      <c r="D180" s="2"/>
      <c r="E180" s="2"/>
      <c r="F180" s="2"/>
    </row>
    <row r="181" spans="1:6" ht="12.75">
      <c r="A181" s="7" t="s">
        <v>5</v>
      </c>
      <c r="B181" s="16" t="s">
        <v>89</v>
      </c>
      <c r="C181" s="2"/>
      <c r="D181" s="2"/>
      <c r="E181" s="2"/>
      <c r="F181" s="16" t="s">
        <v>72</v>
      </c>
    </row>
    <row r="182" spans="1:6" ht="12.75">
      <c r="A182" s="10" t="s">
        <v>296</v>
      </c>
      <c r="B182" s="135"/>
      <c r="C182" s="2"/>
      <c r="D182" s="2"/>
      <c r="E182" s="2"/>
      <c r="F182" s="22">
        <f>+ROUNDUP(B182/60*K175,1)</f>
        <v>0</v>
      </c>
    </row>
    <row r="183" spans="1:11" ht="13.5" thickBo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5" ht="20.25">
      <c r="A185" s="39" t="s">
        <v>176</v>
      </c>
    </row>
    <row r="187" ht="18">
      <c r="A187" s="235" t="s">
        <v>225</v>
      </c>
    </row>
    <row r="188" spans="1:4" ht="12.75">
      <c r="A188" s="322" t="s">
        <v>90</v>
      </c>
      <c r="B188" s="323"/>
      <c r="D188" s="17" t="s">
        <v>95</v>
      </c>
    </row>
    <row r="189" spans="1:10" ht="15.75" customHeight="1">
      <c r="A189" s="324" t="s">
        <v>91</v>
      </c>
      <c r="B189" s="325"/>
      <c r="C189" s="207" t="s">
        <v>94</v>
      </c>
      <c r="D189" s="166" t="s">
        <v>2</v>
      </c>
      <c r="E189" s="17" t="s">
        <v>96</v>
      </c>
      <c r="F189" s="17" t="s">
        <v>97</v>
      </c>
      <c r="G189" s="29" t="s">
        <v>98</v>
      </c>
      <c r="H189" s="29" t="s">
        <v>3</v>
      </c>
      <c r="I189" s="17" t="s">
        <v>99</v>
      </c>
      <c r="J189" s="9" t="s">
        <v>226</v>
      </c>
    </row>
    <row r="190" spans="1:10" ht="15">
      <c r="A190" s="326" t="s">
        <v>92</v>
      </c>
      <c r="B190" s="327"/>
      <c r="C190" s="72">
        <f>+E38</f>
        <v>0.2833333333333333</v>
      </c>
      <c r="D190" s="165">
        <f>+E48</f>
        <v>0.15</v>
      </c>
      <c r="E190" s="165">
        <f>+K37</f>
        <v>0.35</v>
      </c>
      <c r="F190" s="72">
        <f>+E60</f>
        <v>0.11666666666666667</v>
      </c>
      <c r="G190" s="72">
        <f>+K53</f>
        <v>0.525</v>
      </c>
      <c r="H190" s="73">
        <f>+B182/60</f>
        <v>0</v>
      </c>
      <c r="I190" s="73">
        <f>K81/F106+K65</f>
        <v>0.49250000000000005</v>
      </c>
      <c r="J190" s="72">
        <f>SUM(C190:I190)</f>
        <v>1.9175</v>
      </c>
    </row>
    <row r="191" spans="1:10" ht="15">
      <c r="A191" s="328" t="s">
        <v>93</v>
      </c>
      <c r="B191" s="329"/>
      <c r="C191" s="72">
        <f>+C112</f>
        <v>1.4000000000000001</v>
      </c>
      <c r="D191" s="165">
        <f>+C119+C130</f>
        <v>0.9999999999999999</v>
      </c>
      <c r="E191" s="165">
        <f>+C149</f>
        <v>0.5</v>
      </c>
      <c r="F191" s="72">
        <f>+C162</f>
        <v>4</v>
      </c>
      <c r="G191" s="72">
        <f>+C172</f>
        <v>1</v>
      </c>
      <c r="H191" s="74"/>
      <c r="I191" s="74"/>
      <c r="J191" s="72">
        <f>SUM(C191:I191)</f>
        <v>7.9</v>
      </c>
    </row>
    <row r="193" spans="1:2" ht="12.75">
      <c r="A193" s="75" t="s">
        <v>102</v>
      </c>
      <c r="B193" s="97"/>
    </row>
    <row r="194" spans="1:2" ht="12.75">
      <c r="A194" s="75" t="s">
        <v>103</v>
      </c>
      <c r="B194" s="97"/>
    </row>
    <row r="195" spans="1:10" ht="15">
      <c r="A195" s="330" t="s">
        <v>104</v>
      </c>
      <c r="B195" s="330"/>
      <c r="C195" s="73">
        <f>+C191</f>
        <v>1.4000000000000001</v>
      </c>
      <c r="D195" s="72">
        <f>+(C119+C130)/C205</f>
        <v>0.49999999999999994</v>
      </c>
      <c r="E195" s="72">
        <f>+E191/C205</f>
        <v>0.25</v>
      </c>
      <c r="F195" s="72">
        <f>(C162)/C205</f>
        <v>2</v>
      </c>
      <c r="G195" s="72">
        <f>+(C172)/C205</f>
        <v>0.5</v>
      </c>
      <c r="H195" s="74"/>
      <c r="I195" s="74"/>
      <c r="J195" s="72">
        <f>SUM(C195:H195)</f>
        <v>4.65</v>
      </c>
    </row>
    <row r="196" spans="1:10" ht="15.75">
      <c r="A196" s="76" t="s">
        <v>279</v>
      </c>
      <c r="I196" s="78" t="s">
        <v>301</v>
      </c>
      <c r="J196" s="77">
        <f>+J190+J195</f>
        <v>6.567500000000001</v>
      </c>
    </row>
    <row r="197" spans="9:10" ht="15">
      <c r="I197" s="18"/>
      <c r="J197" s="98" t="s">
        <v>6</v>
      </c>
    </row>
    <row r="198" spans="7:10" ht="15.75">
      <c r="G198" s="8"/>
      <c r="H198" s="8"/>
      <c r="I198" s="79" t="s">
        <v>100</v>
      </c>
      <c r="J198" s="221">
        <v>0.05</v>
      </c>
    </row>
    <row r="199" spans="4:11" ht="15">
      <c r="D199" s="31"/>
      <c r="H199" s="31"/>
      <c r="I199" s="78" t="s">
        <v>293</v>
      </c>
      <c r="J199" s="222">
        <f>+J196*J198*60</f>
        <v>19.702500000000004</v>
      </c>
      <c r="K199" s="153" t="s">
        <v>12</v>
      </c>
    </row>
    <row r="200" spans="9:10" ht="10.5" customHeight="1" thickBot="1">
      <c r="I200" s="18"/>
      <c r="J200" s="98" t="s">
        <v>7</v>
      </c>
    </row>
    <row r="201" spans="7:11" ht="18.75" thickBot="1">
      <c r="G201" s="99"/>
      <c r="H201" s="99"/>
      <c r="I201" s="89" t="s">
        <v>294</v>
      </c>
      <c r="J201" s="223">
        <f>ROUNDUP(+J199/60+J196,1)</f>
        <v>6.8999999999999995</v>
      </c>
      <c r="K201" s="8" t="s">
        <v>58</v>
      </c>
    </row>
    <row r="202" spans="7:10" ht="15.75">
      <c r="G202" s="8"/>
      <c r="H202" s="79"/>
      <c r="J202" s="98" t="s">
        <v>6</v>
      </c>
    </row>
    <row r="203" spans="9:10" ht="6" customHeight="1">
      <c r="I203" s="18"/>
      <c r="J203" s="98"/>
    </row>
    <row r="204" spans="9:11" ht="18.75" thickBot="1">
      <c r="I204" s="89" t="s">
        <v>280</v>
      </c>
      <c r="J204" s="224">
        <f>E20</f>
        <v>1.1</v>
      </c>
      <c r="K204" s="8" t="s">
        <v>58</v>
      </c>
    </row>
    <row r="205" spans="2:11" ht="17.25" thickBot="1" thickTop="1">
      <c r="B205" s="100" t="s">
        <v>183</v>
      </c>
      <c r="C205" s="145">
        <v>2</v>
      </c>
      <c r="J205" s="101" t="s">
        <v>7</v>
      </c>
      <c r="K205" s="20"/>
    </row>
    <row r="206" spans="2:11" ht="24" thickBot="1">
      <c r="B206" s="100" t="s">
        <v>101</v>
      </c>
      <c r="C206" s="145">
        <v>8</v>
      </c>
      <c r="D206" s="102" t="s">
        <v>13</v>
      </c>
      <c r="I206" s="89" t="s">
        <v>281</v>
      </c>
      <c r="J206" s="223">
        <f>+J204+J201</f>
        <v>8</v>
      </c>
      <c r="K206" s="8" t="s">
        <v>58</v>
      </c>
    </row>
    <row r="207" ht="14.25" customHeight="1">
      <c r="G207" s="99"/>
    </row>
    <row r="208" spans="7:10" ht="18">
      <c r="G208" s="99"/>
      <c r="H208" s="8"/>
      <c r="I208" s="89" t="s">
        <v>227</v>
      </c>
      <c r="J208" s="225">
        <f>+J206/C206</f>
        <v>1</v>
      </c>
    </row>
    <row r="209" spans="1:11" ht="18">
      <c r="A209" s="69"/>
      <c r="B209" s="69"/>
      <c r="C209" s="69"/>
      <c r="D209" s="69"/>
      <c r="E209" s="69"/>
      <c r="F209" s="69"/>
      <c r="G209" s="103"/>
      <c r="H209" s="104"/>
      <c r="I209" s="105"/>
      <c r="J209" s="69"/>
      <c r="K209" s="69"/>
    </row>
    <row r="210" spans="1:11" ht="18">
      <c r="A210" s="2"/>
      <c r="B210" s="2"/>
      <c r="C210" s="2"/>
      <c r="D210" s="2"/>
      <c r="E210" s="2"/>
      <c r="F210" s="2"/>
      <c r="G210" s="106"/>
      <c r="H210" s="30"/>
      <c r="I210" s="107"/>
      <c r="J210" s="2"/>
      <c r="K210" s="2"/>
    </row>
    <row r="211" ht="20.25">
      <c r="A211" s="39" t="s">
        <v>264</v>
      </c>
    </row>
    <row r="212" ht="14.25">
      <c r="A212" s="108" t="s">
        <v>105</v>
      </c>
    </row>
    <row r="213" ht="14.25">
      <c r="A213" s="108" t="s">
        <v>177</v>
      </c>
    </row>
    <row r="214" ht="6.75" customHeight="1"/>
    <row r="215" spans="1:4" ht="15">
      <c r="A215" s="48"/>
      <c r="C215" s="109" t="s">
        <v>106</v>
      </c>
      <c r="D215" s="239">
        <f>+C206</f>
        <v>8</v>
      </c>
    </row>
    <row r="216" spans="4:7" ht="15" customHeight="1">
      <c r="D216" s="110" t="s">
        <v>14</v>
      </c>
      <c r="F216" s="346" t="str">
        <f>+I201</f>
        <v>total time required inside the drift (contingency included)</v>
      </c>
      <c r="G216" s="347"/>
    </row>
    <row r="217" spans="1:11" ht="18.75" customHeight="1" thickBot="1">
      <c r="A217" s="99"/>
      <c r="B217" s="99"/>
      <c r="C217" s="111" t="s">
        <v>107</v>
      </c>
      <c r="D217" s="240">
        <f>+J204</f>
        <v>1.1</v>
      </c>
      <c r="F217" s="348"/>
      <c r="G217" s="349"/>
      <c r="I217" s="340" t="s">
        <v>109</v>
      </c>
      <c r="J217" s="341"/>
      <c r="K217" s="342"/>
    </row>
    <row r="218" spans="4:11" ht="15.75" customHeight="1" thickTop="1">
      <c r="D218" s="110" t="s">
        <v>7</v>
      </c>
      <c r="F218" s="350"/>
      <c r="G218" s="351"/>
      <c r="I218" s="343"/>
      <c r="J218" s="344"/>
      <c r="K218" s="345"/>
    </row>
    <row r="219" spans="3:11" ht="15.75">
      <c r="C219" s="111" t="s">
        <v>108</v>
      </c>
      <c r="D219" s="241">
        <f>C206-J204</f>
        <v>6.9</v>
      </c>
      <c r="E219" s="9" t="s">
        <v>15</v>
      </c>
      <c r="F219" s="352">
        <f>+J201</f>
        <v>6.8999999999999995</v>
      </c>
      <c r="G219" s="353"/>
      <c r="H219" s="110" t="s">
        <v>7</v>
      </c>
      <c r="I219" s="354">
        <f>D219/J201</f>
        <v>1.0000000000000002</v>
      </c>
      <c r="J219" s="355"/>
      <c r="K219" s="356"/>
    </row>
    <row r="220" spans="2:20" ht="32.25" customHeight="1">
      <c r="B220" s="357" t="str">
        <f>IF(I219&lt;1,"Is it possible to blast during the shift?     If no, change the parameters to obtain a round number ","Is it possible to blast during the shift?  If yes, optimize the parameters to obtain the desired results.")</f>
        <v>Is it possible to blast during the shift?  If yes, optimize the parameters to obtain the desired results.</v>
      </c>
      <c r="C220" s="358"/>
      <c r="D220" s="358"/>
      <c r="E220" s="358"/>
      <c r="F220" s="358"/>
      <c r="G220" s="358"/>
      <c r="H220" s="358"/>
      <c r="I220" s="358"/>
      <c r="J220" s="358"/>
      <c r="K220" s="359"/>
      <c r="P220" s="112"/>
      <c r="Q220" s="112"/>
      <c r="R220" s="112"/>
      <c r="S220" s="112"/>
      <c r="T220" s="112"/>
    </row>
    <row r="221" spans="1:11" ht="13.5" thickBot="1">
      <c r="A221" s="113"/>
      <c r="B221" s="113"/>
      <c r="C221" s="14"/>
      <c r="D221" s="14"/>
      <c r="E221" s="14"/>
      <c r="F221" s="14"/>
      <c r="G221" s="14"/>
      <c r="H221" s="14"/>
      <c r="I221" s="14"/>
      <c r="J221" s="14"/>
      <c r="K221" s="14"/>
    </row>
    <row r="222" ht="8.25" customHeight="1">
      <c r="I222" s="2"/>
    </row>
    <row r="223" spans="1:12" ht="20.25" customHeight="1">
      <c r="A223" s="39" t="s">
        <v>110</v>
      </c>
      <c r="J223" s="24"/>
      <c r="L223" s="24"/>
    </row>
    <row r="224" spans="1:20" ht="20.25">
      <c r="A224" s="27"/>
      <c r="L224" s="24"/>
      <c r="T224" s="24"/>
    </row>
    <row r="225" spans="1:20" ht="20.25">
      <c r="A225" s="27"/>
      <c r="D225" s="29" t="s">
        <v>95</v>
      </c>
      <c r="L225" s="24"/>
      <c r="T225" s="24"/>
    </row>
    <row r="226" spans="1:11" ht="15.75">
      <c r="A226" s="360" t="s">
        <v>178</v>
      </c>
      <c r="B226" s="361"/>
      <c r="C226" s="17" t="s">
        <v>94</v>
      </c>
      <c r="D226" s="29" t="s">
        <v>2</v>
      </c>
      <c r="E226" s="17" t="s">
        <v>96</v>
      </c>
      <c r="F226" s="17" t="s">
        <v>97</v>
      </c>
      <c r="G226" s="29" t="s">
        <v>98</v>
      </c>
      <c r="H226" s="127" t="s">
        <v>3</v>
      </c>
      <c r="I226" s="17" t="s">
        <v>99</v>
      </c>
      <c r="K226" s="9" t="s">
        <v>226</v>
      </c>
    </row>
    <row r="227" spans="1:11" ht="15">
      <c r="A227" s="326" t="s">
        <v>92</v>
      </c>
      <c r="B227" s="327"/>
      <c r="C227" s="72">
        <f>C190*K175</f>
        <v>42.5</v>
      </c>
      <c r="D227" s="165">
        <f>D190*K175</f>
        <v>22.5</v>
      </c>
      <c r="E227" s="72">
        <f>E190*K175+E93</f>
        <v>57.583333333333336</v>
      </c>
      <c r="F227" s="72">
        <f>F190*K175</f>
        <v>17.5</v>
      </c>
      <c r="G227" s="72">
        <f>G190*K175</f>
        <v>78.75</v>
      </c>
      <c r="H227" s="73">
        <f>+F182</f>
        <v>0</v>
      </c>
      <c r="I227" s="72">
        <f>+K81+E82+(K65*K175)</f>
        <v>106.875</v>
      </c>
      <c r="K227" s="72">
        <f>SUM(C227:I227)</f>
        <v>325.70833333333337</v>
      </c>
    </row>
    <row r="228" spans="1:11" ht="15">
      <c r="A228" s="328" t="s">
        <v>93</v>
      </c>
      <c r="B228" s="329"/>
      <c r="C228" s="73">
        <f>+F112</f>
        <v>201.7</v>
      </c>
      <c r="D228" s="167">
        <f>+F119+F130</f>
        <v>150</v>
      </c>
      <c r="E228" s="72">
        <f>+F149</f>
        <v>75</v>
      </c>
      <c r="F228" s="72">
        <f>+F162</f>
        <v>589</v>
      </c>
      <c r="G228" s="72">
        <f>+F172</f>
        <v>150</v>
      </c>
      <c r="H228" s="74"/>
      <c r="I228" s="126"/>
      <c r="K228" s="72">
        <f>SUM(C228:I228)</f>
        <v>1165.7</v>
      </c>
    </row>
    <row r="230" ht="12.75">
      <c r="A230" s="75" t="s">
        <v>102</v>
      </c>
    </row>
    <row r="231" spans="1:10" ht="12.75">
      <c r="A231" s="75" t="s">
        <v>103</v>
      </c>
      <c r="J231" s="9"/>
    </row>
    <row r="232" spans="1:11" ht="15">
      <c r="A232" s="330" t="s">
        <v>111</v>
      </c>
      <c r="B232" s="330"/>
      <c r="C232" s="73">
        <f>+C228</f>
        <v>201.7</v>
      </c>
      <c r="D232" s="242">
        <f>+D228/C240</f>
        <v>75</v>
      </c>
      <c r="E232" s="72">
        <f>E228/C240</f>
        <v>37.5</v>
      </c>
      <c r="F232" s="72">
        <f>(F228)/C240</f>
        <v>294.5</v>
      </c>
      <c r="G232" s="72">
        <f>+(G228)/C240</f>
        <v>75</v>
      </c>
      <c r="H232" s="125"/>
      <c r="I232" s="126"/>
      <c r="K232" s="72">
        <f>SUM(C232:I232)</f>
        <v>683.7</v>
      </c>
    </row>
    <row r="233" spans="1:11" ht="15.75">
      <c r="A233" s="76" t="s">
        <v>279</v>
      </c>
      <c r="J233" s="248" t="s">
        <v>301</v>
      </c>
      <c r="K233" s="77">
        <f>+K232+K227</f>
        <v>1009.4083333333334</v>
      </c>
    </row>
    <row r="234" ht="12" customHeight="1"/>
    <row r="235" ht="9.75" customHeight="1"/>
    <row r="236" ht="12.75">
      <c r="K236" s="16" t="s">
        <v>16</v>
      </c>
    </row>
    <row r="237" spans="1:12" ht="12.75">
      <c r="A237" s="2" t="s">
        <v>181</v>
      </c>
      <c r="B237" s="2"/>
      <c r="C237" s="26">
        <f aca="true" t="shared" si="7" ref="C237:I237">(C227+C232)*$C$240</f>
        <v>488.4</v>
      </c>
      <c r="D237" s="26">
        <f t="shared" si="7"/>
        <v>195</v>
      </c>
      <c r="E237" s="26">
        <f t="shared" si="7"/>
        <v>190.16666666666669</v>
      </c>
      <c r="F237" s="26">
        <f t="shared" si="7"/>
        <v>624</v>
      </c>
      <c r="G237" s="26">
        <f t="shared" si="7"/>
        <v>307.5</v>
      </c>
      <c r="H237" s="26">
        <f t="shared" si="7"/>
        <v>0</v>
      </c>
      <c r="I237" s="26">
        <f t="shared" si="7"/>
        <v>213.75</v>
      </c>
      <c r="K237" s="28">
        <f>SUM(C237:J237)</f>
        <v>2018.8166666666666</v>
      </c>
      <c r="L237" s="20"/>
    </row>
    <row r="238" spans="1:12" ht="15.75">
      <c r="A238" s="2" t="s">
        <v>182</v>
      </c>
      <c r="B238" s="2"/>
      <c r="C238" s="26">
        <f aca="true" t="shared" si="8" ref="C238:I238">+C237/$C$241</f>
        <v>61.05</v>
      </c>
      <c r="D238" s="26">
        <f t="shared" si="8"/>
        <v>24.375</v>
      </c>
      <c r="E238" s="26">
        <f t="shared" si="8"/>
        <v>23.770833333333336</v>
      </c>
      <c r="F238" s="26">
        <f t="shared" si="8"/>
        <v>78</v>
      </c>
      <c r="G238" s="26">
        <f t="shared" si="8"/>
        <v>38.4375</v>
      </c>
      <c r="H238" s="26">
        <f t="shared" si="8"/>
        <v>0</v>
      </c>
      <c r="I238" s="26">
        <f t="shared" si="8"/>
        <v>26.71875</v>
      </c>
      <c r="K238" s="80">
        <f>SUM(C238:J238)</f>
        <v>252.35208333333333</v>
      </c>
      <c r="L238" s="20"/>
    </row>
    <row r="239" ht="12.75">
      <c r="K239" s="9" t="s">
        <v>8</v>
      </c>
    </row>
    <row r="240" spans="1:11" ht="15.75">
      <c r="A240" s="2" t="s">
        <v>183</v>
      </c>
      <c r="C240" s="3">
        <f>+C205</f>
        <v>2</v>
      </c>
      <c r="G240" s="78" t="s">
        <v>112</v>
      </c>
      <c r="H240" s="216">
        <f>+J198</f>
        <v>0.05</v>
      </c>
      <c r="J240" s="78" t="s">
        <v>184</v>
      </c>
      <c r="K240" s="80">
        <f>+K238*H240</f>
        <v>12.617604166666666</v>
      </c>
    </row>
    <row r="241" spans="1:11" ht="12.75">
      <c r="A241" s="208" t="s">
        <v>101</v>
      </c>
      <c r="B241" s="2"/>
      <c r="C241" s="3">
        <f>+C206</f>
        <v>8</v>
      </c>
      <c r="D241" t="s">
        <v>58</v>
      </c>
      <c r="K241" s="9" t="s">
        <v>7</v>
      </c>
    </row>
    <row r="242" spans="10:11" ht="15.75">
      <c r="J242" s="79" t="s">
        <v>185</v>
      </c>
      <c r="K242" s="80">
        <f>+K240+K238</f>
        <v>264.96968749999996</v>
      </c>
    </row>
    <row r="243" ht="12.75">
      <c r="K243" s="9" t="s">
        <v>8</v>
      </c>
    </row>
    <row r="244" spans="10:11" ht="15.75">
      <c r="J244" s="79" t="s">
        <v>114</v>
      </c>
      <c r="K244" s="80">
        <f>+K242*C241/(C241-J204)*J204/C241</f>
        <v>42.24154438405797</v>
      </c>
    </row>
    <row r="245" ht="12.75">
      <c r="K245" s="9" t="s">
        <v>9</v>
      </c>
    </row>
    <row r="246" spans="10:11" ht="15.75">
      <c r="J246" s="79" t="s">
        <v>113</v>
      </c>
      <c r="K246" s="80">
        <f>+K244+K242</f>
        <v>307.21123188405795</v>
      </c>
    </row>
    <row r="247" spans="9:11" ht="16.5" thickBot="1">
      <c r="I247" s="78" t="s">
        <v>115</v>
      </c>
      <c r="J247" s="80">
        <f>+I219</f>
        <v>1.0000000000000002</v>
      </c>
      <c r="K247" s="217" t="s">
        <v>179</v>
      </c>
    </row>
    <row r="248" spans="5:7" ht="15.75">
      <c r="E248" s="79" t="s">
        <v>116</v>
      </c>
      <c r="F248" s="146">
        <v>1</v>
      </c>
      <c r="G248" s="115" t="s">
        <v>179</v>
      </c>
    </row>
    <row r="249" spans="5:6" ht="15.75">
      <c r="E249" s="79" t="s">
        <v>282</v>
      </c>
      <c r="F249" s="116">
        <f>F248/I219</f>
        <v>0.9999999999999998</v>
      </c>
    </row>
    <row r="250" ht="13.5" thickBot="1"/>
    <row r="251" spans="2:7" ht="23.25" customHeight="1" thickBot="1" thickTop="1">
      <c r="B251" s="335" t="s">
        <v>120</v>
      </c>
      <c r="C251" s="336"/>
      <c r="D251" s="336"/>
      <c r="E251" s="336"/>
      <c r="F251" s="336"/>
      <c r="G251" s="337"/>
    </row>
    <row r="252" spans="2:11" ht="18" customHeight="1" thickBot="1">
      <c r="B252" s="364" t="s">
        <v>121</v>
      </c>
      <c r="C252" s="365"/>
      <c r="D252" s="365"/>
      <c r="E252" s="366"/>
      <c r="F252" s="209" t="s">
        <v>122</v>
      </c>
      <c r="G252" s="367" t="s">
        <v>10</v>
      </c>
      <c r="J252" s="81">
        <f>F107+I107</f>
        <v>6452</v>
      </c>
      <c r="K252" s="156" t="s">
        <v>1</v>
      </c>
    </row>
    <row r="253" spans="2:7" ht="17.25" customHeight="1" thickBot="1">
      <c r="B253" s="82" t="s">
        <v>123</v>
      </c>
      <c r="C253" s="37" t="s">
        <v>124</v>
      </c>
      <c r="D253" s="338" t="s">
        <v>180</v>
      </c>
      <c r="E253" s="339"/>
      <c r="F253" s="83" t="s">
        <v>125</v>
      </c>
      <c r="G253" s="368"/>
    </row>
    <row r="254" spans="2:11" ht="25.5" customHeight="1" thickBot="1">
      <c r="B254" s="117">
        <f>+D254/(1+J198)</f>
        <v>296.85357142857146</v>
      </c>
      <c r="C254" s="118">
        <f>+D254-B254</f>
        <v>14.842678571428564</v>
      </c>
      <c r="D254" s="331">
        <f>+G254-F254</f>
        <v>311.69625</v>
      </c>
      <c r="E254" s="332"/>
      <c r="F254" s="119">
        <f>+G254*D217/D215</f>
        <v>49.69070652173914</v>
      </c>
      <c r="G254" s="120">
        <f>((K175)/F248+((C228)*(1+J198)/D219))*C205</f>
        <v>361.38695652173914</v>
      </c>
      <c r="H254" s="333" t="s">
        <v>126</v>
      </c>
      <c r="I254" s="334"/>
      <c r="J254" s="121">
        <f>+J252/G254</f>
        <v>17.853439045224317</v>
      </c>
      <c r="K254" t="s">
        <v>127</v>
      </c>
    </row>
    <row r="255" spans="2:7" ht="14.25" thickBot="1" thickTop="1">
      <c r="B255" s="147">
        <f>+B254/$G$254</f>
        <v>0.8214285714285715</v>
      </c>
      <c r="C255" s="148">
        <f>+C254/$G$254</f>
        <v>0.04107142857142855</v>
      </c>
      <c r="D255" s="362">
        <f>+D254/$G$254</f>
        <v>0.8625</v>
      </c>
      <c r="E255" s="363"/>
      <c r="F255" s="149">
        <f>+F254/$G$254</f>
        <v>0.1375</v>
      </c>
      <c r="G255" s="84">
        <f>+F255+D255</f>
        <v>1</v>
      </c>
    </row>
    <row r="256" spans="1:11" ht="20.25" customHeight="1" thickBot="1">
      <c r="A256" s="8"/>
      <c r="B256" s="8"/>
      <c r="I256" s="2"/>
      <c r="J256" s="168">
        <f>+J254/J252*(F103)</f>
        <v>0.8301351074964809</v>
      </c>
      <c r="K256" t="s">
        <v>128</v>
      </c>
    </row>
    <row r="257" ht="21" thickBot="1">
      <c r="A257" s="39" t="s">
        <v>228</v>
      </c>
    </row>
    <row r="258" spans="6:10" ht="21" thickBot="1">
      <c r="F258" s="158" t="s">
        <v>286</v>
      </c>
      <c r="G258" s="170">
        <v>0.85</v>
      </c>
      <c r="H258" s="172"/>
      <c r="I258" s="174">
        <f>+G259*J256*C240*G258</f>
        <v>28.22459365488035</v>
      </c>
      <c r="J258" s="153" t="s">
        <v>118</v>
      </c>
    </row>
    <row r="259" spans="6:10" ht="21" thickBot="1">
      <c r="F259" s="158" t="s">
        <v>117</v>
      </c>
      <c r="G259" s="171">
        <v>20</v>
      </c>
      <c r="H259" s="172"/>
      <c r="I259" s="173">
        <f>+I258*F107/F106</f>
        <v>1214.0338550752535</v>
      </c>
      <c r="J259" s="156" t="s">
        <v>119</v>
      </c>
    </row>
    <row r="269" spans="1:8" ht="14.25">
      <c r="A269" s="122" t="s">
        <v>129</v>
      </c>
      <c r="D269" s="214" t="s">
        <v>130</v>
      </c>
      <c r="H269" s="122" t="s">
        <v>131</v>
      </c>
    </row>
    <row r="270" spans="1:10" ht="12.75">
      <c r="A270" s="2" t="s">
        <v>132</v>
      </c>
      <c r="B270" s="28">
        <f>+K237</f>
        <v>2018.8166666666666</v>
      </c>
      <c r="D270" s="2"/>
      <c r="E270" s="123" t="s">
        <v>141</v>
      </c>
      <c r="F270" s="28">
        <f>+B278</f>
        <v>264.96968749999996</v>
      </c>
      <c r="I270" s="18" t="str">
        <f>+E278</f>
        <v>Number of required shifts (schedule)</v>
      </c>
      <c r="J270" s="28">
        <f>+F278</f>
        <v>153.60561594202895</v>
      </c>
    </row>
    <row r="271" spans="1:10" ht="12.75">
      <c r="A271" s="2"/>
      <c r="B271" s="9" t="s">
        <v>15</v>
      </c>
      <c r="E271" s="2"/>
      <c r="F271" s="9" t="s">
        <v>15</v>
      </c>
      <c r="J271" s="9" t="s">
        <v>17</v>
      </c>
    </row>
    <row r="272" spans="1:10" ht="12.75">
      <c r="A272" s="2" t="s">
        <v>133</v>
      </c>
      <c r="B272" s="150">
        <f>+C241</f>
        <v>8</v>
      </c>
      <c r="E272" s="123" t="s">
        <v>200</v>
      </c>
      <c r="F272" s="26">
        <f>+D219</f>
        <v>6.9</v>
      </c>
      <c r="I272" s="18" t="s">
        <v>143</v>
      </c>
      <c r="J272" s="150">
        <f>+J204</f>
        <v>1.1</v>
      </c>
    </row>
    <row r="273" spans="1:10" ht="12.75">
      <c r="A273" s="2"/>
      <c r="B273" s="9" t="s">
        <v>9</v>
      </c>
      <c r="E273" s="2"/>
      <c r="F273" s="9" t="s">
        <v>17</v>
      </c>
      <c r="J273" s="9" t="s">
        <v>15</v>
      </c>
    </row>
    <row r="274" spans="1:10" ht="12.75">
      <c r="A274" s="2" t="s">
        <v>134</v>
      </c>
      <c r="B274" s="28">
        <f>+B270/B272</f>
        <v>252.35208333333333</v>
      </c>
      <c r="E274" s="2" t="s">
        <v>133</v>
      </c>
      <c r="F274" s="150">
        <f>+B272</f>
        <v>8</v>
      </c>
      <c r="I274" s="215" t="str">
        <f>+A272</f>
        <v>Hours/shift</v>
      </c>
      <c r="J274" s="150">
        <f>+B272</f>
        <v>8</v>
      </c>
    </row>
    <row r="275" spans="1:10" ht="12.75">
      <c r="A275" s="2"/>
      <c r="B275" s="9" t="s">
        <v>6</v>
      </c>
      <c r="E275" s="2"/>
      <c r="F275" s="9" t="s">
        <v>15</v>
      </c>
      <c r="J275" s="9" t="s">
        <v>7</v>
      </c>
    </row>
    <row r="276" spans="1:10" ht="12.75">
      <c r="A276" s="2" t="s">
        <v>135</v>
      </c>
      <c r="B276" s="114">
        <f>+J198</f>
        <v>0.05</v>
      </c>
      <c r="E276" s="2" t="s">
        <v>139</v>
      </c>
      <c r="F276" s="3">
        <f>+C240</f>
        <v>2</v>
      </c>
      <c r="I276" s="18" t="s">
        <v>284</v>
      </c>
      <c r="J276" s="21">
        <f>+J270*J272/J274</f>
        <v>21.120772192028983</v>
      </c>
    </row>
    <row r="277" spans="1:9" ht="12.75">
      <c r="A277" s="2"/>
      <c r="B277" s="9" t="s">
        <v>7</v>
      </c>
      <c r="F277" s="9" t="s">
        <v>7</v>
      </c>
      <c r="I277" s="18" t="s">
        <v>285</v>
      </c>
    </row>
    <row r="278" spans="1:6" ht="12.75">
      <c r="A278" s="2" t="s">
        <v>134</v>
      </c>
      <c r="B278" s="28">
        <f>+B276*B274+B274</f>
        <v>264.96968749999996</v>
      </c>
      <c r="E278" s="18" t="s">
        <v>142</v>
      </c>
      <c r="F278" s="28">
        <f>+F270/F272*F274/F276</f>
        <v>153.60561594202895</v>
      </c>
    </row>
    <row r="279" ht="12.75">
      <c r="A279" t="s">
        <v>136</v>
      </c>
    </row>
    <row r="281" ht="14.25">
      <c r="A281" s="122" t="s">
        <v>137</v>
      </c>
    </row>
    <row r="282" spans="1:2" ht="12.75">
      <c r="A282" s="237" t="s">
        <v>138</v>
      </c>
      <c r="B282" s="124">
        <f>+F278</f>
        <v>153.60561594202895</v>
      </c>
    </row>
    <row r="283" ht="12.75">
      <c r="B283" s="9" t="s">
        <v>17</v>
      </c>
    </row>
    <row r="284" spans="1:2" ht="12.75">
      <c r="A284" t="s">
        <v>139</v>
      </c>
      <c r="B284" s="3">
        <f>+F276</f>
        <v>2</v>
      </c>
    </row>
    <row r="285" ht="12.75">
      <c r="B285" s="9" t="s">
        <v>7</v>
      </c>
    </row>
    <row r="286" spans="1:2" ht="12.75">
      <c r="A286" s="237" t="s">
        <v>140</v>
      </c>
      <c r="B286" s="28">
        <f>+B284*B282</f>
        <v>307.2112318840579</v>
      </c>
    </row>
    <row r="287" spans="1:3" ht="12.75">
      <c r="A287" s="237" t="s">
        <v>283</v>
      </c>
      <c r="B287" s="28">
        <f>+I219</f>
        <v>1.0000000000000002</v>
      </c>
      <c r="C287" t="s">
        <v>179</v>
      </c>
    </row>
  </sheetData>
  <mergeCells count="111">
    <mergeCell ref="A75:B75"/>
    <mergeCell ref="A76:B76"/>
    <mergeCell ref="D72:D73"/>
    <mergeCell ref="I72:I73"/>
    <mergeCell ref="A74:B74"/>
    <mergeCell ref="G74:H74"/>
    <mergeCell ref="C72:C73"/>
    <mergeCell ref="E72:E73"/>
    <mergeCell ref="G75:H75"/>
    <mergeCell ref="G76:H76"/>
    <mergeCell ref="K27:K28"/>
    <mergeCell ref="C27:C28"/>
    <mergeCell ref="E27:E28"/>
    <mergeCell ref="I27:I28"/>
    <mergeCell ref="K72:K73"/>
    <mergeCell ref="I57:I58"/>
    <mergeCell ref="D27:D28"/>
    <mergeCell ref="J27:J28"/>
    <mergeCell ref="D41:D42"/>
    <mergeCell ref="K57:K58"/>
    <mergeCell ref="J57:J58"/>
    <mergeCell ref="J72:J73"/>
    <mergeCell ref="K41:K42"/>
    <mergeCell ref="I41:I42"/>
    <mergeCell ref="D255:E255"/>
    <mergeCell ref="B252:E252"/>
    <mergeCell ref="G252:G253"/>
    <mergeCell ref="B158:C158"/>
    <mergeCell ref="G161:J161"/>
    <mergeCell ref="G162:J162"/>
    <mergeCell ref="G157:J158"/>
    <mergeCell ref="G168:K168"/>
    <mergeCell ref="J169:K171"/>
    <mergeCell ref="G172:H172"/>
    <mergeCell ref="A228:B228"/>
    <mergeCell ref="F219:G219"/>
    <mergeCell ref="I219:K219"/>
    <mergeCell ref="B220:K220"/>
    <mergeCell ref="A226:B226"/>
    <mergeCell ref="A191:B191"/>
    <mergeCell ref="A195:B195"/>
    <mergeCell ref="D254:E254"/>
    <mergeCell ref="H254:I254"/>
    <mergeCell ref="A232:B232"/>
    <mergeCell ref="B251:G251"/>
    <mergeCell ref="D253:E253"/>
    <mergeCell ref="I217:K218"/>
    <mergeCell ref="F216:G218"/>
    <mergeCell ref="A227:B227"/>
    <mergeCell ref="H175:J175"/>
    <mergeCell ref="A188:B188"/>
    <mergeCell ref="A189:B189"/>
    <mergeCell ref="A190:B190"/>
    <mergeCell ref="D85:D86"/>
    <mergeCell ref="J172:K172"/>
    <mergeCell ref="E85:E86"/>
    <mergeCell ref="K128:K129"/>
    <mergeCell ref="G134:H134"/>
    <mergeCell ref="G122:K122"/>
    <mergeCell ref="G124:J125"/>
    <mergeCell ref="J132:J134"/>
    <mergeCell ref="K132:K134"/>
    <mergeCell ref="K161:K162"/>
    <mergeCell ref="A118:A119"/>
    <mergeCell ref="A91:B91"/>
    <mergeCell ref="E100:F100"/>
    <mergeCell ref="E101:F101"/>
    <mergeCell ref="B100:C100"/>
    <mergeCell ref="B101:C101"/>
    <mergeCell ref="B170:B171"/>
    <mergeCell ref="F170:F171"/>
    <mergeCell ref="B157:C157"/>
    <mergeCell ref="B126:B127"/>
    <mergeCell ref="C51:C52"/>
    <mergeCell ref="E51:E52"/>
    <mergeCell ref="C41:C42"/>
    <mergeCell ref="E41:E42"/>
    <mergeCell ref="D51:D52"/>
    <mergeCell ref="C8:C9"/>
    <mergeCell ref="D8:D9"/>
    <mergeCell ref="E8:E9"/>
    <mergeCell ref="H8:K9"/>
    <mergeCell ref="A90:B90"/>
    <mergeCell ref="A87:B87"/>
    <mergeCell ref="A86:B86"/>
    <mergeCell ref="A88:B88"/>
    <mergeCell ref="A89:B89"/>
    <mergeCell ref="A77:B77"/>
    <mergeCell ref="A78:B78"/>
    <mergeCell ref="A79:B79"/>
    <mergeCell ref="A80:B80"/>
    <mergeCell ref="C85:C86"/>
    <mergeCell ref="J41:J42"/>
    <mergeCell ref="G142:H142"/>
    <mergeCell ref="H106:I106"/>
    <mergeCell ref="H105:I105"/>
    <mergeCell ref="G78:H78"/>
    <mergeCell ref="G77:H77"/>
    <mergeCell ref="G136:H136"/>
    <mergeCell ref="G128:J128"/>
    <mergeCell ref="G129:J129"/>
    <mergeCell ref="G79:H79"/>
    <mergeCell ref="F117:F118"/>
    <mergeCell ref="G155:K155"/>
    <mergeCell ref="K157:K158"/>
    <mergeCell ref="K124:K125"/>
    <mergeCell ref="G137:H137"/>
    <mergeCell ref="G135:H135"/>
    <mergeCell ref="G131:K131"/>
    <mergeCell ref="G132:H132"/>
    <mergeCell ref="I132:I134"/>
  </mergeCells>
  <printOptions/>
  <pageMargins left="0.75" right="0.75" top="1" bottom="1" header="0.4921259845" footer="0.4921259845"/>
  <pageSetup cellComments="asDisplayed" horizontalDpi="600" verticalDpi="600" orientation="landscape" scale="67" r:id="rId4"/>
  <headerFooter alignWithMargins="0">
    <oddFooter>&amp;LFile:  &amp;F
Sheet:  &amp;A
Page &amp;P of &amp;N&amp;CExperimental Mine
Val-d'Or&amp;R&amp;D
&amp;T</oddFooter>
  </headerFooter>
  <rowBreaks count="6" manualBreakCount="6">
    <brk id="39" max="10" man="1"/>
    <brk id="67" max="10" man="1"/>
    <brk id="95" max="10" man="1"/>
    <brk id="120" max="10" man="1"/>
    <brk id="153" max="10" man="1"/>
    <brk id="183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workbookViewId="0" topLeftCell="A45">
      <selection activeCell="A51" sqref="A51"/>
    </sheetView>
  </sheetViews>
  <sheetFormatPr defaultColWidth="9.140625" defaultRowHeight="12.75"/>
  <cols>
    <col min="6" max="6" width="14.421875" style="0" customWidth="1"/>
    <col min="7" max="7" width="12.140625" style="0" customWidth="1"/>
    <col min="8" max="8" width="10.421875" style="0" customWidth="1"/>
    <col min="9" max="9" width="16.57421875" style="0" customWidth="1"/>
  </cols>
  <sheetData>
    <row r="1" ht="24">
      <c r="A1" s="180" t="s">
        <v>229</v>
      </c>
    </row>
    <row r="2" ht="9.75" customHeight="1" thickBot="1">
      <c r="A2" s="180"/>
    </row>
    <row r="3" spans="1:10" ht="27" thickBot="1">
      <c r="A3" s="181"/>
      <c r="E3" s="381" t="s">
        <v>144</v>
      </c>
      <c r="F3" s="382"/>
      <c r="G3" s="383"/>
      <c r="H3" s="384" t="s">
        <v>145</v>
      </c>
      <c r="I3" s="385"/>
      <c r="J3" s="386"/>
    </row>
    <row r="4" spans="1:8" ht="20.25">
      <c r="A4" s="27" t="s">
        <v>146</v>
      </c>
      <c r="H4" s="182"/>
    </row>
    <row r="5" spans="1:10" ht="14.25">
      <c r="A5" s="228" t="s">
        <v>147</v>
      </c>
      <c r="F5" s="151">
        <v>57.5</v>
      </c>
      <c r="G5" t="s">
        <v>230</v>
      </c>
      <c r="H5" s="184"/>
      <c r="I5" s="151">
        <v>55</v>
      </c>
      <c r="J5" t="s">
        <v>230</v>
      </c>
    </row>
    <row r="6" spans="1:8" ht="12.75">
      <c r="A6" s="185" t="s">
        <v>287</v>
      </c>
      <c r="H6" s="184"/>
    </row>
    <row r="7" spans="1:10" ht="14.25">
      <c r="A7" s="228" t="s">
        <v>106</v>
      </c>
      <c r="F7" s="152">
        <v>8</v>
      </c>
      <c r="G7" t="s">
        <v>58</v>
      </c>
      <c r="H7" s="184"/>
      <c r="I7" s="152">
        <v>8</v>
      </c>
      <c r="J7" t="s">
        <v>58</v>
      </c>
    </row>
    <row r="8" spans="1:10" ht="14.25">
      <c r="A8" s="228" t="s">
        <v>21</v>
      </c>
      <c r="F8" s="151">
        <v>0.97</v>
      </c>
      <c r="G8" t="s">
        <v>257</v>
      </c>
      <c r="H8" s="184"/>
      <c r="I8" s="151">
        <v>2</v>
      </c>
      <c r="J8" t="s">
        <v>257</v>
      </c>
    </row>
    <row r="9" spans="6:9" ht="13.5" thickBot="1">
      <c r="F9" s="2"/>
      <c r="H9" s="184"/>
      <c r="I9" s="2"/>
    </row>
    <row r="10" spans="6:10" ht="13.5" thickBot="1">
      <c r="F10" s="186">
        <f>+F5*F7/F8</f>
        <v>474.22680412371136</v>
      </c>
      <c r="G10" t="s">
        <v>258</v>
      </c>
      <c r="H10" s="184"/>
      <c r="I10" s="186">
        <f>+I5*I7/I8</f>
        <v>220</v>
      </c>
      <c r="J10" t="s">
        <v>258</v>
      </c>
    </row>
    <row r="11" spans="6:9" ht="12.75">
      <c r="F11" s="187"/>
      <c r="H11" s="184"/>
      <c r="I11" s="187"/>
    </row>
    <row r="12" spans="1:9" ht="20.25">
      <c r="A12" s="27" t="s">
        <v>148</v>
      </c>
      <c r="F12" s="9" t="s">
        <v>231</v>
      </c>
      <c r="H12" s="184"/>
      <c r="I12" s="9" t="s">
        <v>231</v>
      </c>
    </row>
    <row r="13" spans="1:9" ht="15">
      <c r="A13" s="229" t="s">
        <v>254</v>
      </c>
      <c r="F13" s="202">
        <f>57.36+18.32+1.97+3.19</f>
        <v>80.84</v>
      </c>
      <c r="H13" s="184"/>
      <c r="I13" s="202">
        <f>57.36+18.32+1.97+3.19</f>
        <v>80.84</v>
      </c>
    </row>
    <row r="14" spans="1:9" ht="12.75">
      <c r="A14" s="230" t="s">
        <v>149</v>
      </c>
      <c r="F14" s="189"/>
      <c r="H14" s="184"/>
      <c r="I14" s="189"/>
    </row>
    <row r="15" spans="6:9" ht="12.75">
      <c r="F15" s="189"/>
      <c r="H15" s="184"/>
      <c r="I15" s="189"/>
    </row>
    <row r="16" spans="1:9" ht="15">
      <c r="A16" s="229" t="s">
        <v>232</v>
      </c>
      <c r="F16" s="202">
        <v>107.19</v>
      </c>
      <c r="H16" s="184"/>
      <c r="I16" s="202">
        <v>107.19</v>
      </c>
    </row>
    <row r="17" spans="6:9" ht="12.75">
      <c r="F17" s="189"/>
      <c r="H17" s="184"/>
      <c r="I17" s="189"/>
    </row>
    <row r="18" spans="1:9" ht="15">
      <c r="A18" s="229" t="s">
        <v>233</v>
      </c>
      <c r="F18" s="189"/>
      <c r="H18" s="184"/>
      <c r="I18" s="189"/>
    </row>
    <row r="19" spans="1:9" ht="12.75">
      <c r="A19" s="5" t="s">
        <v>255</v>
      </c>
      <c r="E19" s="202">
        <v>54</v>
      </c>
      <c r="F19" s="189"/>
      <c r="H19" s="203">
        <v>54</v>
      </c>
      <c r="I19" s="189"/>
    </row>
    <row r="20" spans="1:9" ht="12.75">
      <c r="A20" s="5" t="s">
        <v>236</v>
      </c>
      <c r="E20" s="202">
        <v>0.05</v>
      </c>
      <c r="F20" s="189"/>
      <c r="H20" s="203">
        <v>0.05</v>
      </c>
      <c r="I20" s="189"/>
    </row>
    <row r="21" spans="1:9" ht="12.75">
      <c r="A21" s="5" t="s">
        <v>234</v>
      </c>
      <c r="E21" s="202"/>
      <c r="F21" s="189"/>
      <c r="H21" s="203"/>
      <c r="I21" s="189"/>
    </row>
    <row r="22" spans="1:9" ht="12.75">
      <c r="A22" s="5" t="s">
        <v>235</v>
      </c>
      <c r="E22" s="202"/>
      <c r="F22" s="189"/>
      <c r="H22" s="203"/>
      <c r="I22" s="189"/>
    </row>
    <row r="23" spans="1:9" ht="12.75">
      <c r="A23" s="5" t="s">
        <v>150</v>
      </c>
      <c r="E23" s="202">
        <v>6.29</v>
      </c>
      <c r="F23" s="189"/>
      <c r="H23" s="203">
        <v>6.29</v>
      </c>
      <c r="I23" s="189"/>
    </row>
    <row r="24" spans="1:9" ht="12.75">
      <c r="A24" s="5" t="s">
        <v>151</v>
      </c>
      <c r="E24" s="202"/>
      <c r="F24" s="189"/>
      <c r="H24" s="203"/>
      <c r="I24" s="189"/>
    </row>
    <row r="25" spans="1:8" ht="12.75">
      <c r="A25" s="5" t="s">
        <v>152</v>
      </c>
      <c r="E25" s="202"/>
      <c r="H25" s="203"/>
    </row>
    <row r="26" spans="1:9" ht="12.75">
      <c r="A26" s="5"/>
      <c r="B26" s="233" t="s">
        <v>237</v>
      </c>
      <c r="C26" s="388" t="s">
        <v>237</v>
      </c>
      <c r="D26" s="389"/>
      <c r="E26" s="232">
        <f>SUM(E19:E25)</f>
        <v>60.339999999999996</v>
      </c>
      <c r="F26" s="202">
        <v>60.34</v>
      </c>
      <c r="H26" s="191">
        <f>SUM(H19:H25)</f>
        <v>60.339999999999996</v>
      </c>
      <c r="I26" s="202">
        <v>60.34</v>
      </c>
    </row>
    <row r="27" spans="1:9" ht="12.75">
      <c r="A27" s="154"/>
      <c r="F27" s="189"/>
      <c r="H27" s="184"/>
      <c r="I27" s="189"/>
    </row>
    <row r="28" spans="1:9" ht="15">
      <c r="A28" s="229" t="s">
        <v>238</v>
      </c>
      <c r="F28" s="202">
        <v>15.31</v>
      </c>
      <c r="H28" s="184"/>
      <c r="I28" s="202">
        <v>15.31</v>
      </c>
    </row>
    <row r="29" spans="1:9" ht="12.75">
      <c r="A29" s="155"/>
      <c r="F29" s="189"/>
      <c r="H29" s="184"/>
      <c r="I29" s="189"/>
    </row>
    <row r="30" spans="1:8" ht="15">
      <c r="A30" s="229" t="s">
        <v>239</v>
      </c>
      <c r="H30" s="184"/>
    </row>
    <row r="31" spans="1:8" ht="12.75">
      <c r="A31" s="5" t="s">
        <v>253</v>
      </c>
      <c r="E31" s="202">
        <v>54</v>
      </c>
      <c r="H31" s="202">
        <v>54</v>
      </c>
    </row>
    <row r="32" spans="1:8" ht="12.75">
      <c r="A32" s="5" t="s">
        <v>153</v>
      </c>
      <c r="E32" s="202">
        <v>0.05</v>
      </c>
      <c r="H32" s="202">
        <v>0.05</v>
      </c>
    </row>
    <row r="33" spans="1:8" ht="12.75">
      <c r="A33" s="5" t="s">
        <v>154</v>
      </c>
      <c r="E33" s="202"/>
      <c r="H33" s="202"/>
    </row>
    <row r="34" spans="1:8" ht="12.75">
      <c r="A34" s="5" t="s">
        <v>252</v>
      </c>
      <c r="E34" s="202"/>
      <c r="H34" s="202"/>
    </row>
    <row r="35" spans="1:8" ht="12.75">
      <c r="A35" s="5" t="s">
        <v>155</v>
      </c>
      <c r="E35" s="202">
        <v>6.29</v>
      </c>
      <c r="H35" s="202">
        <v>6.29</v>
      </c>
    </row>
    <row r="36" spans="1:8" ht="12.75">
      <c r="A36" s="231" t="s">
        <v>156</v>
      </c>
      <c r="B36" s="192"/>
      <c r="C36" s="192"/>
      <c r="D36" s="192"/>
      <c r="E36" s="202"/>
      <c r="H36" s="202"/>
    </row>
    <row r="37" spans="1:9" ht="12.75">
      <c r="A37" s="154"/>
      <c r="D37" s="227" t="s">
        <v>240</v>
      </c>
      <c r="E37" s="190">
        <f>SUM(E31:E36)</f>
        <v>60.339999999999996</v>
      </c>
      <c r="F37" s="202">
        <v>60.34</v>
      </c>
      <c r="H37" s="190">
        <f>SUM(H31:H36)</f>
        <v>60.339999999999996</v>
      </c>
      <c r="I37" s="202">
        <v>57.81</v>
      </c>
    </row>
    <row r="38" spans="1:9" ht="12.75">
      <c r="A38" s="154"/>
      <c r="C38" s="18"/>
      <c r="D38" s="18"/>
      <c r="F38" s="189"/>
      <c r="H38" s="184"/>
      <c r="I38" s="189"/>
    </row>
    <row r="39" spans="1:9" ht="15">
      <c r="A39" s="229" t="s">
        <v>241</v>
      </c>
      <c r="F39" s="202">
        <v>29.55</v>
      </c>
      <c r="H39" s="184"/>
      <c r="I39" s="202">
        <v>29.55</v>
      </c>
    </row>
    <row r="40" spans="1:9" ht="15">
      <c r="A40" s="188"/>
      <c r="F40" s="189"/>
      <c r="H40" s="184"/>
      <c r="I40" s="189"/>
    </row>
    <row r="41" spans="1:9" ht="15">
      <c r="A41" s="229" t="s">
        <v>242</v>
      </c>
      <c r="F41" s="202">
        <v>5.45</v>
      </c>
      <c r="H41" s="184"/>
      <c r="I41" s="202">
        <v>5.45</v>
      </c>
    </row>
    <row r="42" spans="1:9" ht="15">
      <c r="A42" s="188"/>
      <c r="F42" s="189"/>
      <c r="H42" s="184"/>
      <c r="I42" s="189"/>
    </row>
    <row r="43" spans="1:9" ht="15">
      <c r="A43" s="229" t="s">
        <v>243</v>
      </c>
      <c r="F43" s="202">
        <v>0</v>
      </c>
      <c r="H43" s="184"/>
      <c r="I43" s="202">
        <v>0</v>
      </c>
    </row>
    <row r="44" spans="1:9" ht="15">
      <c r="A44" s="188"/>
      <c r="F44" s="189"/>
      <c r="H44" s="184"/>
      <c r="I44" s="189"/>
    </row>
    <row r="45" spans="1:9" ht="15">
      <c r="A45" s="229" t="s">
        <v>244</v>
      </c>
      <c r="F45" s="204">
        <f>0.24+1.22+0.49+1.31</f>
        <v>3.26</v>
      </c>
      <c r="H45" s="184"/>
      <c r="I45" s="204">
        <f>0.24+1.22+0.49+1.31</f>
        <v>3.26</v>
      </c>
    </row>
    <row r="46" spans="6:9" ht="13.5" thickBot="1">
      <c r="F46" s="189"/>
      <c r="H46" s="184"/>
      <c r="I46" s="189"/>
    </row>
    <row r="47" spans="6:9" ht="13.5" thickBot="1">
      <c r="F47" s="186">
        <f>SUM(F13:F45)</f>
        <v>362.28</v>
      </c>
      <c r="H47" s="184"/>
      <c r="I47" s="186">
        <f>SUM(I13:I45)</f>
        <v>359.75</v>
      </c>
    </row>
    <row r="48" ht="12.75">
      <c r="H48" s="184"/>
    </row>
    <row r="49" ht="12.75">
      <c r="H49" s="184"/>
    </row>
    <row r="50" spans="1:9" ht="20.25">
      <c r="A50" s="27" t="s">
        <v>302</v>
      </c>
      <c r="F50" s="189"/>
      <c r="H50" s="184"/>
      <c r="I50" s="189"/>
    </row>
    <row r="51" spans="1:9" ht="15">
      <c r="A51" s="238" t="s">
        <v>245</v>
      </c>
      <c r="F51" s="202">
        <v>104.35</v>
      </c>
      <c r="H51" s="184"/>
      <c r="I51" s="202">
        <v>104.35</v>
      </c>
    </row>
    <row r="52" spans="1:9" ht="15">
      <c r="A52" s="238" t="s">
        <v>246</v>
      </c>
      <c r="F52" s="202">
        <v>12.05</v>
      </c>
      <c r="H52" s="184"/>
      <c r="I52" s="202">
        <v>12.05</v>
      </c>
    </row>
    <row r="53" ht="12.75">
      <c r="H53" s="184"/>
    </row>
    <row r="54" spans="1:10" ht="15">
      <c r="A54" s="193"/>
      <c r="B54" s="69"/>
      <c r="C54" s="69"/>
      <c r="D54" s="69"/>
      <c r="E54" s="69"/>
      <c r="F54" s="194"/>
      <c r="G54" s="69"/>
      <c r="H54" s="195"/>
      <c r="I54" s="194"/>
      <c r="J54" s="69"/>
    </row>
    <row r="55" spans="1:8" ht="15.75" thickBot="1">
      <c r="A55" s="196"/>
      <c r="H55" s="184"/>
    </row>
    <row r="56" spans="1:9" ht="21" thickBot="1">
      <c r="A56" s="387" t="s">
        <v>247</v>
      </c>
      <c r="B56" s="387"/>
      <c r="C56" s="387"/>
      <c r="D56" s="218"/>
      <c r="F56" s="197">
        <f>SUM(F51:F54)+F47+F10</f>
        <v>952.9068041237113</v>
      </c>
      <c r="G56" s="196"/>
      <c r="H56" s="198"/>
      <c r="I56" s="197">
        <f>SUM(I51:I54)+I47+I10</f>
        <v>696.15</v>
      </c>
    </row>
    <row r="57" spans="1:9" ht="15">
      <c r="A57" s="196"/>
      <c r="F57" s="187"/>
      <c r="H57" s="184"/>
      <c r="I57" s="187"/>
    </row>
    <row r="58" spans="6:8" ht="12.75">
      <c r="F58" s="189"/>
      <c r="H58" s="184"/>
    </row>
    <row r="59" spans="1:10" ht="18">
      <c r="A59" s="199" t="s">
        <v>248</v>
      </c>
      <c r="B59" s="157"/>
      <c r="C59" s="157"/>
      <c r="D59" s="157"/>
      <c r="E59" s="157"/>
      <c r="F59" s="200"/>
      <c r="G59" s="199" t="s">
        <v>297</v>
      </c>
      <c r="H59" s="157"/>
      <c r="I59" s="157"/>
      <c r="J59" s="177"/>
    </row>
    <row r="60" spans="1:10" ht="12.75">
      <c r="A60" s="201" t="s">
        <v>157</v>
      </c>
      <c r="B60" s="2"/>
      <c r="C60" s="2"/>
      <c r="D60" s="2"/>
      <c r="E60" s="2"/>
      <c r="F60" s="2"/>
      <c r="G60" s="201" t="s">
        <v>250</v>
      </c>
      <c r="H60" s="2"/>
      <c r="I60" s="2"/>
      <c r="J60" s="179"/>
    </row>
    <row r="61" spans="1:10" ht="12.75">
      <c r="A61" s="201" t="s">
        <v>256</v>
      </c>
      <c r="B61" s="2"/>
      <c r="C61" s="2"/>
      <c r="D61" s="2"/>
      <c r="E61" s="2"/>
      <c r="F61" s="2"/>
      <c r="G61" s="201" t="s">
        <v>288</v>
      </c>
      <c r="H61" s="2"/>
      <c r="I61" s="2"/>
      <c r="J61" s="179"/>
    </row>
    <row r="62" spans="1:10" ht="12.75">
      <c r="A62" s="201" t="s">
        <v>19</v>
      </c>
      <c r="B62" s="2"/>
      <c r="C62" s="2"/>
      <c r="D62" s="2"/>
      <c r="E62" s="2"/>
      <c r="F62" s="2"/>
      <c r="G62" s="201" t="s">
        <v>159</v>
      </c>
      <c r="H62" s="2"/>
      <c r="I62" s="2"/>
      <c r="J62" s="179"/>
    </row>
    <row r="63" spans="1:10" ht="12.75">
      <c r="A63" s="201" t="s">
        <v>249</v>
      </c>
      <c r="B63" s="2"/>
      <c r="C63" s="2"/>
      <c r="D63" s="2"/>
      <c r="E63" s="2"/>
      <c r="F63" s="2"/>
      <c r="G63" s="201" t="s">
        <v>251</v>
      </c>
      <c r="H63" s="2"/>
      <c r="I63" s="2"/>
      <c r="J63" s="179"/>
    </row>
    <row r="64" spans="1:10" ht="12.75">
      <c r="A64" s="201" t="s">
        <v>158</v>
      </c>
      <c r="B64" s="2"/>
      <c r="C64" s="2"/>
      <c r="D64" s="2"/>
      <c r="E64" s="2"/>
      <c r="F64" s="2"/>
      <c r="G64" s="178"/>
      <c r="H64" s="2"/>
      <c r="I64" s="2"/>
      <c r="J64" s="179"/>
    </row>
    <row r="65" spans="1:10" ht="12.75">
      <c r="A65" s="175"/>
      <c r="B65" s="69"/>
      <c r="C65" s="69"/>
      <c r="D65" s="69"/>
      <c r="E65" s="69"/>
      <c r="F65" s="69"/>
      <c r="G65" s="175"/>
      <c r="H65" s="69"/>
      <c r="I65" s="69"/>
      <c r="J65" s="176"/>
    </row>
  </sheetData>
  <mergeCells count="4">
    <mergeCell ref="E3:G3"/>
    <mergeCell ref="H3:J3"/>
    <mergeCell ref="A56:C56"/>
    <mergeCell ref="C26:D26"/>
  </mergeCells>
  <printOptions horizontalCentered="1"/>
  <pageMargins left="0.75" right="0.75" top="1" bottom="1" header="0.4921259845" footer="0.4921259845"/>
  <pageSetup cellComments="asDisplayed" fitToHeight="1" fitToWidth="1" horizontalDpi="600" verticalDpi="600" orientation="portrait" scale="71" r:id="rId3"/>
  <headerFooter alignWithMargins="0">
    <oddFooter>&amp;LFile:  &amp;F
Sheet:  &amp;A
&amp;CExperimental Mine
Val-d'Or&amp;R&amp;D
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Canmet-MMSL</dc:creator>
  <cp:keywords/>
  <dc:description/>
  <cp:lastModifiedBy>Roger Lacroix</cp:lastModifiedBy>
  <cp:lastPrinted>2004-05-14T18:36:10Z</cp:lastPrinted>
  <dcterms:created xsi:type="dcterms:W3CDTF">2000-05-03T18:12:35Z</dcterms:created>
  <dcterms:modified xsi:type="dcterms:W3CDTF">2004-05-19T13:56:32Z</dcterms:modified>
  <cp:category/>
  <cp:version/>
  <cp:contentType/>
  <cp:contentStatus/>
</cp:coreProperties>
</file>