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80" windowHeight="3075" activeTab="0"/>
  </bookViews>
  <sheets>
    <sheet name="Sub-level" sheetId="1" r:id="rId1"/>
    <sheet name="Mucking" sheetId="2" r:id="rId2"/>
    <sheet name="Drawing" sheetId="3" r:id="rId3"/>
  </sheets>
  <definedNames>
    <definedName name="_xlnm.Print_Area" localSheetId="0">'Sub-level'!$A$5:$K$245</definedName>
    <definedName name="_xlnm.Print_Titles" localSheetId="0">'Sub-level'!$1:$4</definedName>
    <definedName name="Z_8BBB75D6_931B_11D4_9750_00B0D01AB7C9_.wvu.PrintArea" localSheetId="0" hidden="1">'Sub-level'!$A$5:$K$245</definedName>
    <definedName name="Z_8BBB75D6_931B_11D4_9750_00B0D01AB7C9_.wvu.PrintTitles" localSheetId="0" hidden="1">'Sub-level'!$1:$4</definedName>
  </definedNames>
  <calcPr fullCalcOnLoad="1"/>
</workbook>
</file>

<file path=xl/comments1.xml><?xml version="1.0" encoding="utf-8"?>
<comments xmlns="http://schemas.openxmlformats.org/spreadsheetml/2006/main">
  <authors>
    <author>rolacroi</author>
    <author>Canmet-MMSL</author>
  </authors>
  <commentList>
    <comment ref="F183" authorId="0">
      <text>
        <r>
          <rPr>
            <b/>
            <sz val="8"/>
            <rFont val="Tahoma"/>
            <family val="0"/>
          </rPr>
          <t>NOT PROPORTIONAL TO THE NUMBER OF MEN INSIDE THE SUB-LEVEL</t>
        </r>
      </text>
    </comment>
    <comment ref="F108" authorId="0">
      <text>
        <r>
          <rPr>
            <b/>
            <sz val="11"/>
            <rFont val="Tahoma"/>
            <family val="2"/>
          </rPr>
          <t>Length to be mined after the initial cut of the sub-level</t>
        </r>
      </text>
    </comment>
    <comment ref="I111" authorId="0">
      <text>
        <r>
          <rPr>
            <b/>
            <sz val="11"/>
            <rFont val="Tahoma"/>
            <family val="2"/>
          </rPr>
          <t>Evaluation of the number of blasts required for the construction of the infrastructure</t>
        </r>
      </text>
    </comment>
    <comment ref="H105" authorId="0">
      <text>
        <r>
          <rPr>
            <b/>
            <sz val="11"/>
            <rFont val="Tahoma"/>
            <family val="2"/>
          </rPr>
          <t>Dimensions of the required opening for the construction of the infrastructure</t>
        </r>
      </text>
    </comment>
    <comment ref="B116" authorId="0">
      <text>
        <r>
          <rPr>
            <b/>
            <sz val="11"/>
            <rFont val="Tahoma"/>
            <family val="2"/>
          </rPr>
          <t xml:space="preserve">Time required to scale one meter (the roof and the two walls) and to clean the bootlegs
</t>
        </r>
      </text>
    </comment>
    <comment ref="B141" authorId="1">
      <text>
        <r>
          <rPr>
            <b/>
            <sz val="9"/>
            <rFont val="Tahoma"/>
            <family val="2"/>
          </rPr>
          <t>see sheet " MUCKING "</t>
        </r>
      </text>
    </comment>
    <comment ref="E141" authorId="1">
      <text>
        <r>
          <rPr>
            <b/>
            <sz val="9"/>
            <rFont val="Tahoma"/>
            <family val="2"/>
          </rPr>
          <t>see "Mucking" sheet</t>
        </r>
      </text>
    </comment>
    <comment ref="F221" authorId="0">
      <text>
        <r>
          <rPr>
            <b/>
            <sz val="8"/>
            <rFont val="Tahoma"/>
            <family val="0"/>
          </rPr>
          <t>NOT PROPORTIONAL TO THE NUMBER OF MEN INSIDE THE SUB-LEVEL</t>
        </r>
      </text>
    </comment>
  </commentList>
</comments>
</file>

<file path=xl/comments2.xml><?xml version="1.0" encoding="utf-8"?>
<comments xmlns="http://schemas.openxmlformats.org/spreadsheetml/2006/main">
  <authors>
    <author>rolacroi</author>
    <author>Canmet-MMSL</author>
  </authors>
  <commentList>
    <comment ref="A6" authorId="0">
      <text>
        <r>
          <rPr>
            <b/>
            <u val="single"/>
            <sz val="11"/>
            <rFont val="Tahoma"/>
            <family val="2"/>
          </rPr>
          <t>Methodology: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1- </t>
        </r>
        <r>
          <rPr>
            <sz val="11"/>
            <rFont val="Tahoma"/>
            <family val="2"/>
          </rPr>
          <t xml:space="preserve">Enter the distance and availability per equipment.
     (It is possible to optimize the distance per equipment) 
</t>
        </r>
        <r>
          <rPr>
            <b/>
            <sz val="11"/>
            <rFont val="Tahoma"/>
            <family val="2"/>
          </rPr>
          <t>2-</t>
        </r>
        <r>
          <rPr>
            <sz val="11"/>
            <rFont val="Tahoma"/>
            <family val="2"/>
          </rPr>
          <t xml:space="preserve"> Enter the broken ore density.
</t>
        </r>
        <r>
          <rPr>
            <b/>
            <sz val="11"/>
            <rFont val="Tahoma"/>
            <family val="2"/>
          </rPr>
          <t>3-</t>
        </r>
        <r>
          <rPr>
            <sz val="11"/>
            <rFont val="Tahoma"/>
            <family val="2"/>
          </rPr>
          <t xml:space="preserve"> Enter the chosen performance to use in the model.</t>
        </r>
      </text>
    </comment>
    <comment ref="H5" authorId="0">
      <text>
        <r>
          <rPr>
            <sz val="10"/>
            <rFont val="Tahoma"/>
            <family val="2"/>
          </rPr>
          <t xml:space="preserve">Enter the </t>
        </r>
        <r>
          <rPr>
            <b/>
            <u val="single"/>
            <sz val="10"/>
            <rFont val="Tahoma"/>
            <family val="2"/>
          </rPr>
          <t>average mucking distance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according to your stope configuration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u val="single"/>
            <sz val="10"/>
            <rFont val="Tahoma"/>
            <family val="2"/>
          </rPr>
          <t xml:space="preserve">Availability </t>
        </r>
        <r>
          <rPr>
            <sz val="10"/>
            <rFont val="Tahoma"/>
            <family val="2"/>
          </rPr>
          <t>observed at your site or from your references</t>
        </r>
      </text>
    </comment>
    <comment ref="C73" authorId="1">
      <text>
        <r>
          <rPr>
            <b/>
            <sz val="9"/>
            <rFont val="Tahoma"/>
            <family val="2"/>
          </rPr>
          <t>Modify the formula according to the one in the graph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<sst xmlns="http://schemas.openxmlformats.org/spreadsheetml/2006/main" count="363" uniqueCount="252">
  <si>
    <t>total :</t>
  </si>
  <si>
    <t>Lunch</t>
  </si>
  <si>
    <t>tonnes</t>
  </si>
  <si>
    <t>CAVO 310</t>
  </si>
  <si>
    <t>distance (m)</t>
  </si>
  <si>
    <t>SUPPORT</t>
  </si>
  <si>
    <t>VENTILATION</t>
  </si>
  <si>
    <t>NOTES</t>
  </si>
  <si>
    <t xml:space="preserve">Ventilation </t>
  </si>
  <si>
    <t xml:space="preserve"> +</t>
  </si>
  <si>
    <t xml:space="preserve"> =</t>
  </si>
  <si>
    <t>+</t>
  </si>
  <si>
    <t>=</t>
  </si>
  <si>
    <t>TOTAL</t>
  </si>
  <si>
    <t>minutes</t>
  </si>
  <si>
    <t xml:space="preserve"> &lt;=&gt;</t>
  </si>
  <si>
    <t>-</t>
  </si>
  <si>
    <t xml:space="preserve"> /</t>
  </si>
  <si>
    <t>total</t>
  </si>
  <si>
    <t xml:space="preserve"> x</t>
  </si>
  <si>
    <t>Frequency or Units</t>
  </si>
  <si>
    <t>Total Time               (min)</t>
  </si>
  <si>
    <t>Cage (at beginning and end of shift)</t>
  </si>
  <si>
    <t>Supervision</t>
  </si>
  <si>
    <t>Work planning</t>
  </si>
  <si>
    <t>hours/shift</t>
  </si>
  <si>
    <t>RELATED TO PREPARATION</t>
  </si>
  <si>
    <t>RELATED TO GROUND</t>
  </si>
  <si>
    <t>Bring equipment and material</t>
  </si>
  <si>
    <t>Bring explosives</t>
  </si>
  <si>
    <t>Connect the blast</t>
  </si>
  <si>
    <t>Store equipment and explosives</t>
  </si>
  <si>
    <t>SUB-LEVEL</t>
  </si>
  <si>
    <t>Surveyors</t>
  </si>
  <si>
    <t>Mechanics and electricians</t>
  </si>
  <si>
    <t>hours</t>
  </si>
  <si>
    <t>FROM THE RAISE</t>
  </si>
  <si>
    <t>Enlarge raise</t>
  </si>
  <si>
    <t>Extra ground support</t>
  </si>
  <si>
    <t>Manual face cleaning</t>
  </si>
  <si>
    <t>Hoist installation</t>
  </si>
  <si>
    <t>Bring up material</t>
  </si>
  <si>
    <t>Construction of the landing</t>
  </si>
  <si>
    <t>hours/blast</t>
  </si>
  <si>
    <t>Round</t>
  </si>
  <si>
    <t>parameters</t>
  </si>
  <si>
    <t>Sub-level</t>
  </si>
  <si>
    <t>Cut parameters</t>
  </si>
  <si>
    <t>for the sub-level</t>
  </si>
  <si>
    <t>Productivity</t>
  </si>
  <si>
    <t>Clean hoist</t>
  </si>
  <si>
    <t>Drill holes for eyebolts</t>
  </si>
  <si>
    <t>Install eyebolts</t>
  </si>
  <si>
    <t>total hours</t>
  </si>
  <si>
    <t>Travelling (shaft - refuge station - shaft)</t>
  </si>
  <si>
    <t>Other travelling delays</t>
  </si>
  <si>
    <t>Complete daily reports</t>
  </si>
  <si>
    <t>RELATED TO BLASTING</t>
  </si>
  <si>
    <t>Total average time to drill a 2.4-m hole (min)</t>
  </si>
  <si>
    <t>DRILLING PARAMETERS (support)</t>
  </si>
  <si>
    <t>GROUND SUPPORT PARAMETERS</t>
  </si>
  <si>
    <t>Average drilling rate</t>
  </si>
  <si>
    <t>t/hour</t>
  </si>
  <si>
    <t>meters</t>
  </si>
  <si>
    <t>BLASTING PARAMETERS</t>
  </si>
  <si>
    <t>minutes required</t>
  </si>
  <si>
    <t xml:space="preserve"> (evacuation of fumes)</t>
  </si>
  <si>
    <t>DIRECT ACTIVITIES</t>
  </si>
  <si>
    <t>DIRECT FIXED             (hours)</t>
  </si>
  <si>
    <t>ONLY DIRECT VARIABLE ACTIVITIES ARE INFLUENCED BY THE NUMBER OF MEN.</t>
  </si>
  <si>
    <t>THEREFORE, ACCORDING TO THE NUMBER OF MEN ENTERED, WE OBTAIN:</t>
  </si>
  <si>
    <t>see support</t>
  </si>
  <si>
    <t>SCALING</t>
  </si>
  <si>
    <t>DRILLING</t>
  </si>
  <si>
    <t>MUCKING</t>
  </si>
  <si>
    <t>BLASTING</t>
  </si>
  <si>
    <t>OTHERS</t>
  </si>
  <si>
    <t xml:space="preserve">total time required inside the sub-level (contingency included)  </t>
  </si>
  <si>
    <t>NUMBER OF HOURS PER SHIFT</t>
  </si>
  <si>
    <t>In this section, you can optimize your operating parameters to simulate your operation or to find</t>
  </si>
  <si>
    <t>Number of hours per shift</t>
  </si>
  <si>
    <t>CHUTES, MANWAYS, CUT</t>
  </si>
  <si>
    <t>with a contingency of</t>
  </si>
  <si>
    <t>total manshifts required</t>
  </si>
  <si>
    <t>with a performance of</t>
  </si>
  <si>
    <t>tonnes/manshift</t>
  </si>
  <si>
    <t>PRODUCTIVITY</t>
  </si>
  <si>
    <t>INSIDE THE SUB-LEVEL</t>
  </si>
  <si>
    <t>MANSHIFTS</t>
  </si>
  <si>
    <t xml:space="preserve">FIXED </t>
  </si>
  <si>
    <t>PRODUCTIVE</t>
  </si>
  <si>
    <t>CONTINGENCY</t>
  </si>
  <si>
    <t>Hours/shift</t>
  </si>
  <si>
    <t>Contingency</t>
  </si>
  <si>
    <t>with contingency</t>
  </si>
  <si>
    <t>Men</t>
  </si>
  <si>
    <t>Calculation of number of shifts of direct fixed activities</t>
  </si>
  <si>
    <t>equipment</t>
  </si>
  <si>
    <t>hoist</t>
  </si>
  <si>
    <t>m³/hour</t>
  </si>
  <si>
    <t>availability</t>
  </si>
  <si>
    <t>sh.tons/hour</t>
  </si>
  <si>
    <t>Enter your average operating distance</t>
  </si>
  <si>
    <t>ELECTRIC SCOOP     EJC 60E</t>
  </si>
  <si>
    <t>3.0 - DIRECT FIXED ACTIVITIES PER SUB-LEVEL (inside the sub-level)</t>
  </si>
  <si>
    <t>Geologists</t>
  </si>
  <si>
    <t>FOR SCRAPING</t>
  </si>
  <si>
    <t>1.0 - DIRECT FIXED ACTIVITIES PER SHIFT (outside the sub-level)</t>
  </si>
  <si>
    <t>Back and forth to sub-level</t>
  </si>
  <si>
    <t>Time delay because the chute is full</t>
  </si>
  <si>
    <t>hours/scraping preparation with hoist</t>
  </si>
  <si>
    <t>Access verification</t>
  </si>
  <si>
    <t>Extra scaling</t>
  </si>
  <si>
    <t>RELATED TO CUTTING SUB-LEVELS</t>
  </si>
  <si>
    <t xml:space="preserve">Install ventilation </t>
  </si>
  <si>
    <t xml:space="preserve"> 1 - Cut sub-levels from the raise (see section 3.0)</t>
  </si>
  <si>
    <t xml:space="preserve"> 3 - Excavate the first section with the hoist</t>
  </si>
  <si>
    <t xml:space="preserve"> 2 - Install hoist and build landing (see section 3.0)</t>
  </si>
  <si>
    <t># of rounds</t>
  </si>
  <si>
    <t>Drilled length/bolt</t>
  </si>
  <si>
    <t>drilled holes/round</t>
  </si>
  <si>
    <t>Time required to drill a 1.2-m hole (min)</t>
  </si>
  <si>
    <t>(drilled meters per hour/man/drill)</t>
  </si>
  <si>
    <t>tonnes/drilled m</t>
  </si>
  <si>
    <t>Number of blasts (sub-level)</t>
  </si>
  <si>
    <t>Required explosives (kg)</t>
  </si>
  <si>
    <t xml:space="preserve"> (To use when blasting causes a delay during the shift or when the work schedule is 24 hours a day)</t>
  </si>
  <si>
    <t xml:space="preserve"> /blast</t>
  </si>
  <si>
    <t>DIRECT VARIABLE     (hours)</t>
  </si>
  <si>
    <t>DIRECT VARIABLE    (hours) *</t>
  </si>
  <si>
    <t xml:space="preserve">allocated time for contingency  </t>
  </si>
  <si>
    <t>Direct fixed time outside the sub-level/shift</t>
  </si>
  <si>
    <t>Available time inside the sub-level/shift</t>
  </si>
  <si>
    <t>6.0 - SUB-LEVEL COMPILATION</t>
  </si>
  <si>
    <t>REQUIRED MANHOURS</t>
  </si>
  <si>
    <t>REQUIRED MANSHIFTS</t>
  </si>
  <si>
    <t>REQUIRED NUMBER OF MEN</t>
  </si>
  <si>
    <t>contingency (ventilation included)</t>
  </si>
  <si>
    <t xml:space="preserve">From your best estimate, you can maintain  </t>
  </si>
  <si>
    <t>OUTSIDE SUB-LEVEL</t>
  </si>
  <si>
    <t>meter/manshift</t>
  </si>
  <si>
    <t>minutes/scraping preparation with hoist</t>
  </si>
  <si>
    <t>ENTER YOUR CHOICE IN CYCLE CALCULATIONS</t>
  </si>
  <si>
    <t>YOUR EQUIPMENT</t>
  </si>
  <si>
    <t>Broken ore density (t/m³)</t>
  </si>
  <si>
    <t>HOIST         18.5 HP    @ 90psi                       (Ingersoll-Rand)</t>
  </si>
  <si>
    <t>Time (min)/Unit</t>
  </si>
  <si>
    <t>minutes/blast</t>
  </si>
  <si>
    <t>hours/setup</t>
  </si>
  <si>
    <t>minutes/setup</t>
  </si>
  <si>
    <t>longitudinal m</t>
  </si>
  <si>
    <t>average time/         hole (min)</t>
  </si>
  <si>
    <t>holes/blast</t>
  </si>
  <si>
    <t>Scheduled hrs</t>
  </si>
  <si>
    <t>DIRECT VARIABLE     (hours) *</t>
  </si>
  <si>
    <t>DRILLING PARAMETERS (advance)</t>
  </si>
  <si>
    <t>PER ADVANCE</t>
  </si>
  <si>
    <t xml:space="preserve"> *  The number of required hours is corrected according to the number of men entered in section 5.0.</t>
  </si>
  <si>
    <t>required manshifts from direct fixed activities (outside the sub-level)</t>
  </si>
  <si>
    <t>distance (ft)</t>
  </si>
  <si>
    <t>(SEE STEPS 1 AND 2 IN DRAWING)</t>
  </si>
  <si>
    <t>Clean and load holes</t>
  </si>
  <si>
    <t>Hook pulleys and cable to eyebolts</t>
  </si>
  <si>
    <t>Required manhours</t>
  </si>
  <si>
    <t>Required manshifts</t>
  </si>
  <si>
    <t xml:space="preserve">Total number of required shifts </t>
  </si>
  <si>
    <t xml:space="preserve">Required manshifts </t>
  </si>
  <si>
    <t>Required manshifts with contingency</t>
  </si>
  <si>
    <t>Number of required shifts (schedule)</t>
  </si>
  <si>
    <t>Direct fixed hours/shift</t>
  </si>
  <si>
    <t>Number of shifts of direct fixed activities (schedule)</t>
  </si>
  <si>
    <t>Calculation of required manhifts with contingency</t>
  </si>
  <si>
    <t>Calculation of total number of required manshifts</t>
  </si>
  <si>
    <t>Calculation of number of shifts according to schedule</t>
  </si>
  <si>
    <t>Available hours inside the sub-level</t>
  </si>
  <si>
    <t>Possible number of advances per shift</t>
  </si>
  <si>
    <r>
      <t>Powder factor                      per round</t>
    </r>
    <r>
      <rPr>
        <sz val="10"/>
        <rFont val="Arial"/>
        <family val="2"/>
      </rPr>
      <t xml:space="preserve"> (kg/tonne)</t>
    </r>
  </si>
  <si>
    <t>Total average time to drill a 1.2-m hole (min)</t>
  </si>
  <si>
    <t xml:space="preserve">total time of direct fixed activities outside the sub-level </t>
  </si>
  <si>
    <t>total time required per advance</t>
  </si>
  <si>
    <t>Number of bolts/1.2 m advanced</t>
  </si>
  <si>
    <t>Drilled meters/m advanced</t>
  </si>
  <si>
    <t>advance/shift</t>
  </si>
  <si>
    <t xml:space="preserve"> 4 - (optional) Bring in more performing equipment for drilling and/or mucking (Cavo 310, or other)</t>
  </si>
  <si>
    <t>Standard working steps in captive sub-level:</t>
  </si>
  <si>
    <t>Install setup platform</t>
  </si>
  <si>
    <t>Remove setup platform</t>
  </si>
  <si>
    <t>Version:  January 25, 2002</t>
  </si>
  <si>
    <t>Store material</t>
  </si>
  <si>
    <t xml:space="preserve">Prepare material </t>
  </si>
  <si>
    <t>Bring and prepare material</t>
  </si>
  <si>
    <t>Repair and install ventilation</t>
  </si>
  <si>
    <t>Drilled length</t>
  </si>
  <si>
    <t>Broken length</t>
  </si>
  <si>
    <t>Height</t>
  </si>
  <si>
    <t>Width</t>
  </si>
  <si>
    <t>Tonnes</t>
  </si>
  <si>
    <t>Length</t>
  </si>
  <si>
    <t>Average width</t>
  </si>
  <si>
    <t>Average height</t>
  </si>
  <si>
    <t>Number of blasts</t>
  </si>
  <si>
    <t>Wash, scale and clean bootlegs</t>
  </si>
  <si>
    <t>Equivalent length (m)</t>
  </si>
  <si>
    <t>Ore density (t/m³)</t>
  </si>
  <si>
    <t>minutes/</t>
  </si>
  <si>
    <t xml:space="preserve">Drilling for support </t>
  </si>
  <si>
    <t>installation time/bolt (min)</t>
  </si>
  <si>
    <t>(screen included)</t>
  </si>
  <si>
    <t>Installation of ground support</t>
  </si>
  <si>
    <t xml:space="preserve">Average drilling rate </t>
  </si>
  <si>
    <t>Roof pattern</t>
  </si>
  <si>
    <t>Hanging wall pattern</t>
  </si>
  <si>
    <t>Footwall pattern</t>
  </si>
  <si>
    <t>Mucking</t>
  </si>
  <si>
    <t>tonnes/hour</t>
  </si>
  <si>
    <t>Meters to drill</t>
  </si>
  <si>
    <t>Time required for drilling (hours)</t>
  </si>
  <si>
    <t>total hours                (sub-level)</t>
  </si>
  <si>
    <t>Hole diameter (mm)</t>
  </si>
  <si>
    <t>Explosive density (g/cc)</t>
  </si>
  <si>
    <t>Kg of explosives/meter</t>
  </si>
  <si>
    <t>TABLE OF REQUIRED HOURS PER ROUND</t>
  </si>
  <si>
    <t xml:space="preserve">REQUIRED NUMBER OF MEN </t>
  </si>
  <si>
    <t>5.1 - CALCULATION OF THE POSSIBLE NUMBER OF ADVANCES PER SHIFT ACCORDING TO ENTERED DATA:</t>
  </si>
  <si>
    <t>the required parameters to reach the desired performance.</t>
  </si>
  <si>
    <t>manshift contingency</t>
  </si>
  <si>
    <t>required manshifts inside the sub-level</t>
  </si>
  <si>
    <t xml:space="preserve">with a performance of </t>
  </si>
  <si>
    <t>RELATED TO</t>
  </si>
  <si>
    <t>Table (entries, results)</t>
  </si>
  <si>
    <t>tonnes/hr</t>
  </si>
  <si>
    <t>2.0 - DIRECT FIXED ACTIVITIES PER STEP (inside the sub-level)</t>
  </si>
  <si>
    <t>2.0 - (cont'd) DIRECT FIXED ACTIVITIES PER STEP (inside the sub-level)</t>
  </si>
  <si>
    <t>PER SUB-LEVEL</t>
  </si>
  <si>
    <t>OTHER ACTIVITIES</t>
  </si>
  <si>
    <t>See steps 1 and 2 in Drawing</t>
  </si>
  <si>
    <t xml:space="preserve">which represents an occupation rate of the shift (contingency included) of  </t>
  </si>
  <si>
    <t>TOTAL (SUB-LEVEL)</t>
  </si>
  <si>
    <t>4.0 - DIRECT VARIABLE ACTIVITIES PER STEP (inside the sub-level)</t>
  </si>
  <si>
    <t>4.2 - Scaling</t>
  </si>
  <si>
    <t>4.3 - Ground Support</t>
  </si>
  <si>
    <t>4.4 - Mucking or Scraping</t>
  </si>
  <si>
    <t>4.5 - Drilling</t>
  </si>
  <si>
    <t>4.6 - Loading and Blasting</t>
  </si>
  <si>
    <t>5.0 - ROUND COMPILATION</t>
  </si>
  <si>
    <t>4.1 - Dimensions</t>
  </si>
  <si>
    <t>4.7 - Ventilation</t>
  </si>
  <si>
    <t>Time required for repositioning, changing drilling steel and bits, etc. per hole of 1.2 m (min)</t>
  </si>
  <si>
    <t>Time required for repositioning, changing drilling steel and bits, etc. per hole of 2.4 m (min)</t>
  </si>
  <si>
    <t>occupation rate of the shift per advance</t>
  </si>
  <si>
    <t>total hours                       (sub-level)</t>
  </si>
  <si>
    <t>Version:  May 14,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</si>
</sst>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%"/>
    <numFmt numFmtId="173" formatCode="0.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00"/>
    <numFmt numFmtId="183" formatCode="_(* #,##0.0_);_(* \(#,##0.0\);_(* &quot;-&quot;??_);_(@_)"/>
    <numFmt numFmtId="184" formatCode="0.0000000000000"/>
    <numFmt numFmtId="185" formatCode="0.0000000000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24"/>
      <name val="Arial Black"/>
      <family val="2"/>
    </font>
    <font>
      <b/>
      <sz val="8"/>
      <name val="Tahoma"/>
      <family val="0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u val="single"/>
      <sz val="16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0"/>
      <color indexed="48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sz val="9.75"/>
      <name val="Arial"/>
      <family val="0"/>
    </font>
    <font>
      <sz val="15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b/>
      <sz val="9.75"/>
      <name val="Arial"/>
      <family val="0"/>
    </font>
    <font>
      <sz val="9"/>
      <name val="Arial"/>
      <family val="2"/>
    </font>
    <font>
      <b/>
      <sz val="11.75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sz val="10.25"/>
      <name val="Arial"/>
      <family val="2"/>
    </font>
    <font>
      <sz val="8.75"/>
      <name val="Arial"/>
      <family val="2"/>
    </font>
    <font>
      <vertAlign val="superscript"/>
      <sz val="9.75"/>
      <name val="Arial"/>
      <family val="0"/>
    </font>
    <font>
      <vertAlign val="superscript"/>
      <sz val="9.5"/>
      <name val="Arial"/>
      <family val="0"/>
    </font>
    <font>
      <vertAlign val="superscript"/>
      <sz val="10.25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4"/>
    </xf>
    <xf numFmtId="0" fontId="0" fillId="0" borderId="0" xfId="0" applyBorder="1" applyAlignment="1" quotePrefix="1">
      <alignment horizontal="center" wrapText="1"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>
      <alignment horizontal="right"/>
    </xf>
    <xf numFmtId="0" fontId="0" fillId="2" borderId="22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0" fontId="2" fillId="0" borderId="23" xfId="0" applyFont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14" xfId="0" applyBorder="1" applyAlignment="1">
      <alignment horizontal="left"/>
    </xf>
    <xf numFmtId="173" fontId="0" fillId="2" borderId="1" xfId="0" applyNumberFormat="1" applyFill="1" applyBorder="1" applyAlignment="1">
      <alignment/>
    </xf>
    <xf numFmtId="0" fontId="10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73" fontId="0" fillId="2" borderId="22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" borderId="1" xfId="0" applyFont="1" applyFill="1" applyBorder="1" applyAlignment="1">
      <alignment wrapText="1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left" indent="2"/>
    </xf>
    <xf numFmtId="0" fontId="13" fillId="2" borderId="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13" fillId="2" borderId="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2" borderId="25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3" fillId="0" borderId="20" xfId="0" applyFont="1" applyBorder="1" applyAlignment="1">
      <alignment/>
    </xf>
    <xf numFmtId="0" fontId="23" fillId="0" borderId="0" xfId="0" applyFont="1" applyBorder="1" applyAlignment="1">
      <alignment horizontal="left" indent="1"/>
    </xf>
    <xf numFmtId="0" fontId="24" fillId="0" borderId="0" xfId="0" applyFont="1" applyBorder="1" applyAlignment="1">
      <alignment horizontal="left" indent="1"/>
    </xf>
    <xf numFmtId="0" fontId="13" fillId="0" borderId="0" xfId="0" applyFont="1" applyAlignment="1">
      <alignment horizontal="right"/>
    </xf>
    <xf numFmtId="0" fontId="2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23" fillId="0" borderId="0" xfId="0" applyFont="1" applyAlignment="1">
      <alignment horizontal="left" indent="1"/>
    </xf>
    <xf numFmtId="0" fontId="23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25" fillId="0" borderId="0" xfId="0" applyFont="1" applyAlignment="1">
      <alignment horizontal="left" inden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2" fontId="13" fillId="2" borderId="14" xfId="0" applyNumberFormat="1" applyFon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0" fontId="2" fillId="3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/>
    </xf>
    <xf numFmtId="173" fontId="7" fillId="2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0" fontId="26" fillId="0" borderId="0" xfId="0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2" borderId="1" xfId="0" applyNumberFormat="1" applyFont="1" applyFill="1" applyBorder="1" applyAlignment="1">
      <alignment/>
    </xf>
    <xf numFmtId="0" fontId="27" fillId="0" borderId="0" xfId="0" applyFont="1" applyAlignment="1">
      <alignment/>
    </xf>
    <xf numFmtId="1" fontId="2" fillId="2" borderId="25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9" fontId="0" fillId="0" borderId="8" xfId="19" applyBorder="1" applyAlignment="1">
      <alignment horizontal="center"/>
    </xf>
    <xf numFmtId="9" fontId="0" fillId="0" borderId="15" xfId="0" applyNumberFormat="1" applyBorder="1" applyAlignment="1">
      <alignment horizontal="center"/>
    </xf>
    <xf numFmtId="173" fontId="0" fillId="0" borderId="16" xfId="0" applyNumberFormat="1" applyFill="1" applyBorder="1" applyAlignment="1">
      <alignment horizontal="center"/>
    </xf>
    <xf numFmtId="173" fontId="0" fillId="0" borderId="21" xfId="0" applyNumberFormat="1" applyFill="1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 horizontal="right"/>
    </xf>
    <xf numFmtId="2" fontId="13" fillId="2" borderId="0" xfId="0" applyNumberFormat="1" applyFont="1" applyFill="1" applyAlignment="1">
      <alignment/>
    </xf>
    <xf numFmtId="0" fontId="0" fillId="0" borderId="31" xfId="0" applyBorder="1" applyAlignment="1">
      <alignment/>
    </xf>
    <xf numFmtId="0" fontId="0" fillId="2" borderId="32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2" borderId="33" xfId="0" applyNumberForma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13" fillId="2" borderId="34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 indent="4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3" fontId="6" fillId="0" borderId="0" xfId="0" applyNumberFormat="1" applyFont="1" applyAlignment="1">
      <alignment horizontal="center"/>
    </xf>
    <xf numFmtId="0" fontId="29" fillId="0" borderId="0" xfId="0" applyFont="1" applyAlignment="1">
      <alignment horizontal="right"/>
    </xf>
    <xf numFmtId="0" fontId="3" fillId="0" borderId="27" xfId="0" applyFont="1" applyBorder="1" applyAlignment="1">
      <alignment/>
    </xf>
    <xf numFmtId="0" fontId="0" fillId="0" borderId="27" xfId="0" applyBorder="1" applyAlignment="1">
      <alignment horizontal="left" indent="2"/>
    </xf>
    <xf numFmtId="0" fontId="3" fillId="0" borderId="27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0" fillId="0" borderId="0" xfId="0" applyFont="1" applyAlignment="1">
      <alignment horizontal="left" indent="5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7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left" indent="2"/>
    </xf>
    <xf numFmtId="172" fontId="0" fillId="2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173" fontId="2" fillId="2" borderId="35" xfId="0" applyNumberFormat="1" applyFont="1" applyFill="1" applyBorder="1" applyAlignment="1">
      <alignment horizontal="center"/>
    </xf>
    <xf numFmtId="173" fontId="2" fillId="2" borderId="36" xfId="0" applyNumberFormat="1" applyFont="1" applyFill="1" applyBorder="1" applyAlignment="1">
      <alignment horizontal="center"/>
    </xf>
    <xf numFmtId="173" fontId="2" fillId="2" borderId="37" xfId="0" applyNumberFormat="1" applyFont="1" applyFill="1" applyBorder="1" applyAlignment="1">
      <alignment horizontal="center"/>
    </xf>
    <xf numFmtId="173" fontId="2" fillId="2" borderId="38" xfId="0" applyNumberFormat="1" applyFont="1" applyFill="1" applyBorder="1" applyAlignment="1">
      <alignment horizontal="center"/>
    </xf>
    <xf numFmtId="173" fontId="2" fillId="2" borderId="34" xfId="0" applyNumberFormat="1" applyFont="1" applyFill="1" applyBorder="1" applyAlignment="1">
      <alignment horizontal="center"/>
    </xf>
    <xf numFmtId="9" fontId="0" fillId="0" borderId="15" xfId="19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Border="1" applyAlignment="1">
      <alignment horizontal="right"/>
    </xf>
    <xf numFmtId="183" fontId="0" fillId="2" borderId="1" xfId="15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173" fontId="7" fillId="5" borderId="1" xfId="0" applyNumberFormat="1" applyFont="1" applyFill="1" applyBorder="1" applyAlignment="1">
      <alignment/>
    </xf>
    <xf numFmtId="2" fontId="7" fillId="5" borderId="1" xfId="0" applyNumberFormat="1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0" xfId="0" applyFont="1" applyAlignment="1">
      <alignment horizontal="left" indent="4"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left" indent="3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2" fontId="0" fillId="6" borderId="22" xfId="0" applyNumberFormat="1" applyFill="1" applyBorder="1" applyAlignment="1" applyProtection="1">
      <alignment horizontal="center"/>
      <protection locked="0"/>
    </xf>
    <xf numFmtId="173" fontId="0" fillId="6" borderId="22" xfId="0" applyNumberForma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/>
      <protection locked="0"/>
    </xf>
    <xf numFmtId="0" fontId="13" fillId="6" borderId="14" xfId="0" applyFont="1" applyFill="1" applyBorder="1" applyAlignment="1" applyProtection="1">
      <alignment/>
      <protection locked="0"/>
    </xf>
    <xf numFmtId="0" fontId="13" fillId="6" borderId="1" xfId="0" applyFont="1" applyFill="1" applyBorder="1" applyAlignment="1" applyProtection="1">
      <alignment/>
      <protection locked="0"/>
    </xf>
    <xf numFmtId="0" fontId="13" fillId="6" borderId="0" xfId="0" applyFont="1" applyFill="1" applyAlignment="1" applyProtection="1">
      <alignment horizontal="left" indent="2"/>
      <protection locked="0"/>
    </xf>
    <xf numFmtId="0" fontId="13" fillId="6" borderId="0" xfId="0" applyFont="1" applyFill="1" applyBorder="1" applyAlignment="1" applyProtection="1">
      <alignment horizontal="left" indent="2"/>
      <protection locked="0"/>
    </xf>
    <xf numFmtId="0" fontId="13" fillId="6" borderId="0" xfId="0" applyFont="1" applyFill="1" applyBorder="1" applyAlignment="1" applyProtection="1">
      <alignment/>
      <protection locked="0"/>
    </xf>
    <xf numFmtId="0" fontId="13" fillId="6" borderId="0" xfId="0" applyFont="1" applyFill="1" applyAlignment="1">
      <alignment horizontal="left" indent="2"/>
    </xf>
    <xf numFmtId="0" fontId="13" fillId="6" borderId="14" xfId="0" applyFont="1" applyFill="1" applyBorder="1" applyAlignment="1" applyProtection="1">
      <alignment horizontal="center"/>
      <protection locked="0"/>
    </xf>
    <xf numFmtId="2" fontId="13" fillId="6" borderId="14" xfId="0" applyNumberFormat="1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2" fontId="1" fillId="6" borderId="39" xfId="0" applyNumberFormat="1" applyFont="1" applyFill="1" applyBorder="1" applyAlignment="1" applyProtection="1">
      <alignment horizontal="center"/>
      <protection locked="0"/>
    </xf>
    <xf numFmtId="173" fontId="0" fillId="6" borderId="22" xfId="0" applyNumberFormat="1" applyFill="1" applyBorder="1" applyAlignment="1">
      <alignment horizontal="center"/>
    </xf>
    <xf numFmtId="172" fontId="1" fillId="2" borderId="1" xfId="19" applyNumberFormat="1" applyFont="1" applyFill="1" applyBorder="1" applyAlignment="1">
      <alignment/>
    </xf>
    <xf numFmtId="0" fontId="13" fillId="6" borderId="0" xfId="0" applyFont="1" applyFill="1" applyAlignment="1" applyProtection="1">
      <alignment horizontal="left" indent="3"/>
      <protection locked="0"/>
    </xf>
    <xf numFmtId="0" fontId="1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1" fontId="0" fillId="6" borderId="41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Alignment="1">
      <alignment/>
    </xf>
    <xf numFmtId="183" fontId="0" fillId="0" borderId="0" xfId="0" applyNumberFormat="1" applyBorder="1" applyAlignment="1">
      <alignment/>
    </xf>
    <xf numFmtId="2" fontId="2" fillId="2" borderId="25" xfId="0" applyNumberFormat="1" applyFont="1" applyFill="1" applyBorder="1" applyAlignment="1">
      <alignment horizontal="center"/>
    </xf>
    <xf numFmtId="0" fontId="40" fillId="8" borderId="40" xfId="0" applyFont="1" applyFill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Alignment="1">
      <alignment horizontal="left"/>
    </xf>
    <xf numFmtId="2" fontId="2" fillId="6" borderId="1" xfId="0" applyNumberFormat="1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9" fontId="2" fillId="6" borderId="1" xfId="19" applyFont="1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173" fontId="0" fillId="6" borderId="17" xfId="0" applyNumberFormat="1" applyFill="1" applyBorder="1" applyAlignment="1" applyProtection="1">
      <alignment horizontal="center"/>
      <protection locked="0"/>
    </xf>
    <xf numFmtId="0" fontId="7" fillId="6" borderId="23" xfId="0" applyFont="1" applyFill="1" applyBorder="1" applyAlignment="1" applyProtection="1">
      <alignment/>
      <protection locked="0"/>
    </xf>
    <xf numFmtId="0" fontId="0" fillId="6" borderId="9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17" xfId="0" applyFill="1" applyBorder="1" applyAlignment="1" applyProtection="1">
      <alignment/>
      <protection locked="0"/>
    </xf>
    <xf numFmtId="9" fontId="0" fillId="0" borderId="43" xfId="19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172" fontId="1" fillId="6" borderId="1" xfId="19" applyNumberFormat="1" applyFont="1" applyFill="1" applyBorder="1" applyAlignment="1" applyProtection="1">
      <alignment/>
      <protection locked="0"/>
    </xf>
    <xf numFmtId="1" fontId="7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173" fontId="3" fillId="2" borderId="25" xfId="0" applyNumberFormat="1" applyFont="1" applyFill="1" applyBorder="1" applyAlignment="1">
      <alignment/>
    </xf>
    <xf numFmtId="173" fontId="3" fillId="2" borderId="45" xfId="0" applyNumberFormat="1" applyFont="1" applyFill="1" applyBorder="1" applyAlignment="1">
      <alignment/>
    </xf>
    <xf numFmtId="0" fontId="23" fillId="0" borderId="0" xfId="0" applyFont="1" applyBorder="1" applyAlignment="1">
      <alignment horizontal="left" indent="5"/>
    </xf>
    <xf numFmtId="0" fontId="13" fillId="0" borderId="0" xfId="0" applyFont="1" applyAlignment="1">
      <alignment horizontal="left" indent="7"/>
    </xf>
    <xf numFmtId="0" fontId="2" fillId="0" borderId="1" xfId="0" applyFont="1" applyBorder="1" applyAlignment="1">
      <alignment horizontal="center"/>
    </xf>
    <xf numFmtId="2" fontId="0" fillId="6" borderId="1" xfId="0" applyNumberFormat="1" applyFill="1" applyBorder="1" applyAlignment="1" applyProtection="1">
      <alignment horizontal="center"/>
      <protection locked="0"/>
    </xf>
    <xf numFmtId="173" fontId="7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173" fontId="6" fillId="2" borderId="45" xfId="0" applyNumberFormat="1" applyFont="1" applyFill="1" applyBorder="1" applyAlignment="1">
      <alignment horizontal="center"/>
    </xf>
    <xf numFmtId="173" fontId="6" fillId="2" borderId="3" xfId="0" applyNumberFormat="1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13" fillId="6" borderId="0" xfId="0" applyFont="1" applyFill="1" applyAlignment="1" applyProtection="1">
      <alignment horizontal="left" indent="2"/>
      <protection locked="0"/>
    </xf>
    <xf numFmtId="0" fontId="13" fillId="6" borderId="7" xfId="0" applyFont="1" applyFill="1" applyBorder="1" applyAlignment="1" applyProtection="1">
      <alignment horizontal="left" indent="2"/>
      <protection locked="0"/>
    </xf>
    <xf numFmtId="0" fontId="13" fillId="0" borderId="0" xfId="0" applyFont="1" applyAlignment="1">
      <alignment horizontal="left" indent="2"/>
    </xf>
    <xf numFmtId="0" fontId="13" fillId="0" borderId="7" xfId="0" applyFont="1" applyBorder="1" applyAlignment="1">
      <alignment horizontal="left" indent="2"/>
    </xf>
    <xf numFmtId="0" fontId="32" fillId="0" borderId="0" xfId="0" applyFont="1" applyAlignment="1">
      <alignment horizontal="center" shrinkToFit="1"/>
    </xf>
    <xf numFmtId="0" fontId="32" fillId="0" borderId="7" xfId="0" applyFont="1" applyBorder="1" applyAlignment="1">
      <alignment horizontal="center" shrinkToFi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0" fillId="8" borderId="13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173" fontId="7" fillId="2" borderId="51" xfId="0" applyNumberFormat="1" applyFont="1" applyFill="1" applyBorder="1" applyAlignment="1">
      <alignment horizontal="center" vertical="center"/>
    </xf>
    <xf numFmtId="173" fontId="7" fillId="2" borderId="5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2" fontId="13" fillId="2" borderId="31" xfId="0" applyNumberFormat="1" applyFont="1" applyFill="1" applyBorder="1" applyAlignment="1">
      <alignment horizontal="center"/>
    </xf>
    <xf numFmtId="2" fontId="13" fillId="2" borderId="56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3" borderId="3" xfId="0" applyFont="1" applyFill="1" applyBorder="1" applyAlignment="1">
      <alignment horizontal="center" textRotation="90" wrapText="1"/>
    </xf>
    <xf numFmtId="0" fontId="2" fillId="3" borderId="57" xfId="0" applyFont="1" applyFill="1" applyBorder="1" applyAlignment="1">
      <alignment horizontal="center" textRotation="90" wrapText="1"/>
    </xf>
    <xf numFmtId="0" fontId="2" fillId="3" borderId="15" xfId="0" applyFont="1" applyFill="1" applyBorder="1" applyAlignment="1">
      <alignment horizontal="center" textRotation="90" wrapText="1"/>
    </xf>
    <xf numFmtId="173" fontId="2" fillId="2" borderId="58" xfId="0" applyNumberFormat="1" applyFont="1" applyFill="1" applyBorder="1" applyAlignment="1">
      <alignment horizontal="center"/>
    </xf>
    <xf numFmtId="173" fontId="2" fillId="2" borderId="36" xfId="0" applyNumberFormat="1" applyFont="1" applyFill="1" applyBorder="1" applyAlignment="1">
      <alignment horizontal="center"/>
    </xf>
    <xf numFmtId="0" fontId="7" fillId="8" borderId="59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9" fontId="0" fillId="0" borderId="27" xfId="19" applyBorder="1" applyAlignment="1">
      <alignment horizontal="center"/>
    </xf>
    <xf numFmtId="9" fontId="0" fillId="0" borderId="2" xfId="19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8" borderId="63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2" fillId="8" borderId="66" xfId="0" applyFont="1" applyFill="1" applyBorder="1" applyAlignment="1">
      <alignment horizontal="center" vertical="center"/>
    </xf>
    <xf numFmtId="0" fontId="2" fillId="8" borderId="6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 quotePrefix="1">
      <alignment horizont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9" borderId="55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9" borderId="27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173" fontId="6" fillId="2" borderId="4" xfId="0" applyNumberFormat="1" applyFont="1" applyFill="1" applyBorder="1" applyAlignment="1">
      <alignment horizontal="center"/>
    </xf>
    <xf numFmtId="173" fontId="6" fillId="2" borderId="5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5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3" fillId="3" borderId="68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44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1" fillId="0" borderId="11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shrinkToFit="1"/>
    </xf>
    <xf numFmtId="0" fontId="32" fillId="0" borderId="53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2" fillId="6" borderId="56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PERFORMANCE OF CAVO 310</a:t>
            </a:r>
          </a:p>
        </c:rich>
      </c:tx>
      <c:layout>
        <c:manualLayout>
          <c:xMode val="factor"/>
          <c:yMode val="factor"/>
          <c:x val="0.022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058"/>
          <c:w val="0.90975"/>
          <c:h val="0.7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Mucking!$A$33:$A$37</c:f>
              <c:numCach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Mucking!$C$33:$C$37</c:f>
              <c:numCache>
                <c:ptCount val="5"/>
                <c:pt idx="0">
                  <c:v>24.2</c:v>
                </c:pt>
                <c:pt idx="1">
                  <c:v>20</c:v>
                </c:pt>
                <c:pt idx="2">
                  <c:v>16.3</c:v>
                </c:pt>
                <c:pt idx="3">
                  <c:v>13.3</c:v>
                </c:pt>
                <c:pt idx="4">
                  <c:v>11.2</c:v>
                </c:pt>
              </c:numCache>
            </c:numRef>
          </c:yVal>
          <c:smooth val="1"/>
        </c:ser>
        <c:axId val="22597417"/>
        <c:axId val="2050162"/>
      </c:scatterChart>
      <c:val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50162"/>
        <c:crosses val="autoZero"/>
        <c:crossBetween val="midCat"/>
        <c:dispUnits/>
        <c:majorUnit val="20"/>
        <c:minorUnit val="10"/>
      </c:valAx>
      <c:valAx>
        <c:axId val="2050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97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PERFORMANCE OF HOIST</a:t>
            </a:r>
          </a:p>
        </c:rich>
      </c:tx>
      <c:layout>
        <c:manualLayout>
          <c:xMode val="factor"/>
          <c:yMode val="factor"/>
          <c:x val="0.082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07725"/>
          <c:w val="0.837"/>
          <c:h val="0.6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Mucking!$A$14:$A$25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Mucking!$C$14:$C$25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18451459"/>
        <c:axId val="31845404"/>
      </c:scatterChart>
      <c:valAx>
        <c:axId val="1845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845404"/>
        <c:crosses val="autoZero"/>
        <c:crossBetween val="midCat"/>
        <c:dispUnits/>
        <c:majorUnit val="20"/>
        <c:minorUnit val="10"/>
      </c:valAx>
      <c:valAx>
        <c:axId val="3184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451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PERFORMANCE OF ELECTRIC SCOOP 
EJC 60E</a:t>
            </a:r>
          </a:p>
        </c:rich>
      </c:tx>
      <c:layout>
        <c:manualLayout>
          <c:xMode val="factor"/>
          <c:yMode val="factor"/>
          <c:x val="0.06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6025"/>
          <c:w val="0.905"/>
          <c:h val="0.685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Mucking!$A$48:$A$55</c:f>
              <c:numCache>
                <c:ptCount val="8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</c:numCache>
            </c:numRef>
          </c:xVal>
          <c:yVal>
            <c:numRef>
              <c:f>Mucking!$C$48:$C$55</c:f>
              <c:numCache>
                <c:ptCount val="8"/>
                <c:pt idx="0">
                  <c:v>25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</c:numCache>
            </c:numRef>
          </c:yVal>
          <c:smooth val="1"/>
        </c:ser>
        <c:axId val="18173181"/>
        <c:axId val="29340902"/>
      </c:scatterChart>
      <c:valAx>
        <c:axId val="1817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340902"/>
        <c:crosses val="autoZero"/>
        <c:crossBetween val="midCat"/>
        <c:dispUnits/>
        <c:majorUnit val="50"/>
        <c:minorUnit val="25"/>
      </c:valAx>
      <c:valAx>
        <c:axId val="2934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73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Mucking!$A$62</c:f>
        </c:strRef>
      </c:tx>
      <c:layout>
        <c:manualLayout>
          <c:xMode val="factor"/>
          <c:yMode val="factor"/>
          <c:x val="0.06475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5125"/>
          <c:w val="0.912"/>
          <c:h val="0.791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Mucking!$A$64:$A$71</c:f>
              <c:numCache>
                <c:ptCount val="8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</c:numCache>
            </c:numRef>
          </c:xVal>
          <c:yVal>
            <c:numRef>
              <c:f>Mucking!$C$64:$C$71</c:f>
              <c:numCache>
                <c:ptCount val="8"/>
                <c:pt idx="0">
                  <c:v>26</c:v>
                </c:pt>
                <c:pt idx="1">
                  <c:v>23</c:v>
                </c:pt>
                <c:pt idx="2">
                  <c:v>21</c:v>
                </c:pt>
                <c:pt idx="3">
                  <c:v>19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</c:numCache>
            </c:numRef>
          </c:yVal>
          <c:smooth val="1"/>
        </c:ser>
        <c:axId val="62741527"/>
        <c:axId val="27802832"/>
      </c:scatterChart>
      <c:valAx>
        <c:axId val="6274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802832"/>
        <c:crosses val="autoZero"/>
        <c:crossBetween val="midCat"/>
        <c:dispUnits/>
        <c:majorUnit val="50"/>
        <c:minorUnit val="25"/>
      </c:valAx>
      <c:valAx>
        <c:axId val="2780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41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123</xdr:row>
      <xdr:rowOff>142875</xdr:rowOff>
    </xdr:from>
    <xdr:to>
      <xdr:col>10</xdr:col>
      <xdr:colOff>104775</xdr:colOff>
      <xdr:row>125</xdr:row>
      <xdr:rowOff>190500</xdr:rowOff>
    </xdr:to>
    <xdr:sp>
      <xdr:nvSpPr>
        <xdr:cNvPr id="1" name="AutoShape 20"/>
        <xdr:cNvSpPr>
          <a:spLocks/>
        </xdr:cNvSpPr>
      </xdr:nvSpPr>
      <xdr:spPr>
        <a:xfrm>
          <a:off x="10020300" y="24593550"/>
          <a:ext cx="504825" cy="381000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9525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147</xdr:row>
      <xdr:rowOff>142875</xdr:rowOff>
    </xdr:from>
    <xdr:to>
      <xdr:col>10</xdr:col>
      <xdr:colOff>104775</xdr:colOff>
      <xdr:row>149</xdr:row>
      <xdr:rowOff>190500</xdr:rowOff>
    </xdr:to>
    <xdr:sp>
      <xdr:nvSpPr>
        <xdr:cNvPr id="3" name="AutoShape 187"/>
        <xdr:cNvSpPr>
          <a:spLocks/>
        </xdr:cNvSpPr>
      </xdr:nvSpPr>
      <xdr:spPr>
        <a:xfrm>
          <a:off x="10020300" y="29117925"/>
          <a:ext cx="504825" cy="504825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82</xdr:row>
      <xdr:rowOff>0</xdr:rowOff>
    </xdr:from>
    <xdr:to>
      <xdr:col>6</xdr:col>
      <xdr:colOff>723900</xdr:colOff>
      <xdr:row>90</xdr:row>
      <xdr:rowOff>0</xdr:rowOff>
    </xdr:to>
    <xdr:grpSp>
      <xdr:nvGrpSpPr>
        <xdr:cNvPr id="4" name="Group 256"/>
        <xdr:cNvGrpSpPr>
          <a:grpSpLocks noChangeAspect="1"/>
        </xdr:cNvGrpSpPr>
      </xdr:nvGrpSpPr>
      <xdr:grpSpPr>
        <a:xfrm>
          <a:off x="457200" y="16411575"/>
          <a:ext cx="6877050" cy="1466850"/>
          <a:chOff x="39" y="39"/>
          <a:chExt cx="587" cy="125"/>
        </a:xfrm>
        <a:solidFill>
          <a:srgbClr val="FFFFFF"/>
        </a:solidFill>
      </xdr:grpSpPr>
      <xdr:sp>
        <xdr:nvSpPr>
          <xdr:cNvPr id="5" name="Oval 257"/>
          <xdr:cNvSpPr>
            <a:spLocks noChangeAspect="1"/>
          </xdr:cNvSpPr>
        </xdr:nvSpPr>
        <xdr:spPr>
          <a:xfrm>
            <a:off x="39" y="59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6" name="Oval 258"/>
          <xdr:cNvSpPr>
            <a:spLocks noChangeAspect="1"/>
          </xdr:cNvSpPr>
        </xdr:nvSpPr>
        <xdr:spPr>
          <a:xfrm>
            <a:off x="108" y="137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" name="Polygon 259"/>
          <xdr:cNvSpPr>
            <a:spLocks noChangeAspect="1"/>
          </xdr:cNvSpPr>
        </xdr:nvSpPr>
        <xdr:spPr>
          <a:xfrm>
            <a:off x="70" y="69"/>
            <a:ext cx="556" cy="61"/>
          </a:xfrm>
          <a:custGeom>
            <a:pathLst>
              <a:path h="61" w="556">
                <a:moveTo>
                  <a:pt x="0" y="10"/>
                </a:moveTo>
                <a:lnTo>
                  <a:pt x="27" y="0"/>
                </a:lnTo>
                <a:lnTo>
                  <a:pt x="74" y="0"/>
                </a:lnTo>
                <a:lnTo>
                  <a:pt x="85" y="11"/>
                </a:lnTo>
                <a:lnTo>
                  <a:pt x="555" y="10"/>
                </a:lnTo>
                <a:lnTo>
                  <a:pt x="556" y="60"/>
                </a:lnTo>
                <a:lnTo>
                  <a:pt x="0" y="61"/>
                </a:lnTo>
                <a:lnTo>
                  <a:pt x="0" y="1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260"/>
          <xdr:cNvGrpSpPr>
            <a:grpSpLocks noChangeAspect="1"/>
          </xdr:cNvGrpSpPr>
        </xdr:nvGrpSpPr>
        <xdr:grpSpPr>
          <a:xfrm>
            <a:off x="103" y="77"/>
            <a:ext cx="40" cy="24"/>
            <a:chOff x="92" y="71"/>
            <a:chExt cx="40" cy="24"/>
          </a:xfrm>
          <a:solidFill>
            <a:srgbClr val="FFFFFF"/>
          </a:solidFill>
        </xdr:grpSpPr>
        <xdr:sp>
          <xdr:nvSpPr>
            <xdr:cNvPr id="9" name="Polygon 261"/>
            <xdr:cNvSpPr>
              <a:spLocks noChangeAspect="1"/>
            </xdr:cNvSpPr>
          </xdr:nvSpPr>
          <xdr:spPr>
            <a:xfrm>
              <a:off x="92" y="71"/>
              <a:ext cx="39" cy="24"/>
            </a:xfrm>
            <a:custGeom>
              <a:pathLst>
                <a:path h="24" w="39">
                  <a:moveTo>
                    <a:pt x="0" y="0"/>
                  </a:moveTo>
                  <a:lnTo>
                    <a:pt x="39" y="0"/>
                  </a:lnTo>
                  <a:lnTo>
                    <a:pt x="39" y="24"/>
                  </a:lnTo>
                  <a:lnTo>
                    <a:pt x="0" y="2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Polygon 262"/>
            <xdr:cNvSpPr>
              <a:spLocks noChangeAspect="1"/>
            </xdr:cNvSpPr>
          </xdr:nvSpPr>
          <xdr:spPr>
            <a:xfrm>
              <a:off x="111" y="71"/>
              <a:ext cx="21" cy="24"/>
            </a:xfrm>
            <a:custGeom>
              <a:pathLst>
                <a:path h="24" w="21">
                  <a:moveTo>
                    <a:pt x="0" y="0"/>
                  </a:moveTo>
                  <a:lnTo>
                    <a:pt x="0" y="24"/>
                  </a:lnTo>
                  <a:lnTo>
                    <a:pt x="21" y="2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Polygon 263"/>
            <xdr:cNvSpPr>
              <a:spLocks noChangeAspect="1"/>
            </xdr:cNvSpPr>
          </xdr:nvSpPr>
          <xdr:spPr>
            <a:xfrm>
              <a:off x="92" y="71"/>
              <a:ext cx="18" cy="24"/>
            </a:xfrm>
            <a:custGeom>
              <a:pathLst>
                <a:path h="24" w="11">
                  <a:moveTo>
                    <a:pt x="0" y="24"/>
                  </a:moveTo>
                  <a:lnTo>
                    <a:pt x="0" y="0"/>
                  </a:lnTo>
                  <a:lnTo>
                    <a:pt x="11" y="0"/>
                  </a:lnTo>
                  <a:lnTo>
                    <a:pt x="11" y="24"/>
                  </a:lnTo>
                  <a:lnTo>
                    <a:pt x="0" y="24"/>
                  </a:lnTo>
                  <a:close/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Polygon 264"/>
          <xdr:cNvSpPr>
            <a:spLocks noChangeAspect="1"/>
          </xdr:cNvSpPr>
        </xdr:nvSpPr>
        <xdr:spPr>
          <a:xfrm>
            <a:off x="372" y="62"/>
            <a:ext cx="18" cy="87"/>
          </a:xfrm>
          <a:custGeom>
            <a:pathLst>
              <a:path h="87" w="18">
                <a:moveTo>
                  <a:pt x="18" y="0"/>
                </a:moveTo>
                <a:lnTo>
                  <a:pt x="7" y="42"/>
                </a:lnTo>
                <a:lnTo>
                  <a:pt x="15" y="38"/>
                </a:lnTo>
                <a:lnTo>
                  <a:pt x="0" y="8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Polygon 265"/>
          <xdr:cNvSpPr>
            <a:spLocks noChangeAspect="1"/>
          </xdr:cNvSpPr>
        </xdr:nvSpPr>
        <xdr:spPr>
          <a:xfrm>
            <a:off x="378" y="55"/>
            <a:ext cx="18" cy="87"/>
          </a:xfrm>
          <a:custGeom>
            <a:pathLst>
              <a:path h="87" w="18">
                <a:moveTo>
                  <a:pt x="18" y="0"/>
                </a:moveTo>
                <a:lnTo>
                  <a:pt x="7" y="42"/>
                </a:lnTo>
                <a:lnTo>
                  <a:pt x="15" y="38"/>
                </a:lnTo>
                <a:lnTo>
                  <a:pt x="0" y="8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266"/>
          <xdr:cNvSpPr txBox="1">
            <a:spLocks noChangeAspect="1" noChangeArrowheads="1"/>
          </xdr:cNvSpPr>
        </xdr:nvSpPr>
        <xdr:spPr>
          <a:xfrm>
            <a:off x="86" y="39"/>
            <a:ext cx="14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PLAN VIEW</a:t>
            </a:r>
          </a:p>
        </xdr:txBody>
      </xdr:sp>
      <xdr:sp>
        <xdr:nvSpPr>
          <xdr:cNvPr id="15" name="Line 267"/>
          <xdr:cNvSpPr>
            <a:spLocks noChangeAspect="1"/>
          </xdr:cNvSpPr>
        </xdr:nvSpPr>
        <xdr:spPr>
          <a:xfrm flipH="1">
            <a:off x="173" y="80"/>
            <a:ext cx="1" cy="5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8"/>
          <xdr:cNvSpPr>
            <a:spLocks noChangeAspect="1"/>
          </xdr:cNvSpPr>
        </xdr:nvSpPr>
        <xdr:spPr>
          <a:xfrm flipH="1">
            <a:off x="276" y="81"/>
            <a:ext cx="1" cy="5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69"/>
          <xdr:cNvSpPr>
            <a:spLocks noChangeAspect="1"/>
          </xdr:cNvSpPr>
        </xdr:nvSpPr>
        <xdr:spPr>
          <a:xfrm>
            <a:off x="175" y="109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70"/>
          <xdr:cNvSpPr>
            <a:spLocks noChangeAspect="1"/>
          </xdr:cNvSpPr>
        </xdr:nvSpPr>
        <xdr:spPr>
          <a:xfrm>
            <a:off x="72" y="111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71"/>
          <xdr:cNvSpPr>
            <a:spLocks noChangeAspect="1"/>
          </xdr:cNvSpPr>
        </xdr:nvSpPr>
        <xdr:spPr>
          <a:xfrm>
            <a:off x="66" y="73"/>
            <a:ext cx="3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72"/>
          <xdr:cNvSpPr>
            <a:spLocks noChangeAspect="1"/>
          </xdr:cNvSpPr>
        </xdr:nvSpPr>
        <xdr:spPr>
          <a:xfrm>
            <a:off x="215" y="137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1" name="Oval 273"/>
          <xdr:cNvSpPr>
            <a:spLocks noChangeAspect="1"/>
          </xdr:cNvSpPr>
        </xdr:nvSpPr>
        <xdr:spPr>
          <a:xfrm>
            <a:off x="348" y="137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  <xdr:twoCellAnchor>
    <xdr:from>
      <xdr:col>9</xdr:col>
      <xdr:colOff>828675</xdr:colOff>
      <xdr:row>205</xdr:row>
      <xdr:rowOff>104775</xdr:rowOff>
    </xdr:from>
    <xdr:to>
      <xdr:col>10</xdr:col>
      <xdr:colOff>723900</xdr:colOff>
      <xdr:row>206</xdr:row>
      <xdr:rowOff>180975</xdr:rowOff>
    </xdr:to>
    <xdr:sp>
      <xdr:nvSpPr>
        <xdr:cNvPr id="22" name="AutoShape 299"/>
        <xdr:cNvSpPr>
          <a:spLocks/>
        </xdr:cNvSpPr>
      </xdr:nvSpPr>
      <xdr:spPr>
        <a:xfrm>
          <a:off x="10401300" y="40424100"/>
          <a:ext cx="742950" cy="276225"/>
        </a:xfrm>
        <a:custGeom>
          <a:pathLst>
            <a:path h="31" w="93">
              <a:moveTo>
                <a:pt x="0" y="1"/>
              </a:moveTo>
              <a:cubicBezTo>
                <a:pt x="31" y="0"/>
                <a:pt x="63" y="0"/>
                <a:pt x="78" y="5"/>
              </a:cubicBezTo>
              <a:cubicBezTo>
                <a:pt x="93" y="10"/>
                <a:pt x="84" y="25"/>
                <a:pt x="88" y="3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0.81625</cdr:y>
    </cdr:from>
    <cdr:to>
      <cdr:x>0.32275</cdr:x>
      <cdr:y>0.99475</cdr:y>
    </cdr:to>
    <cdr:sp>
      <cdr:nvSpPr>
        <cdr:cNvPr id="1" name="Rectangle 1"/>
        <cdr:cNvSpPr>
          <a:spLocks/>
        </cdr:cNvSpPr>
      </cdr:nvSpPr>
      <cdr:spPr>
        <a:xfrm>
          <a:off x="9525" y="1790700"/>
          <a:ext cx="1104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Atlas Copco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0.78675</cdr:y>
    </cdr:from>
    <cdr:to>
      <cdr:x>0.5355</cdr:x>
      <cdr:y>1</cdr:y>
    </cdr:to>
    <cdr:sp>
      <cdr:nvSpPr>
        <cdr:cNvPr id="1" name="Rectangle 1"/>
        <cdr:cNvSpPr>
          <a:spLocks/>
        </cdr:cNvSpPr>
      </cdr:nvSpPr>
      <cdr:spPr>
        <a:xfrm>
          <a:off x="47625" y="1971675"/>
          <a:ext cx="1828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Ingersoll-Rand 18.5 HP
compressed air (90psi)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0.858</cdr:y>
    </cdr:from>
    <cdr:to>
      <cdr:x>0.27625</cdr:x>
      <cdr:y>0.998</cdr:y>
    </cdr:to>
    <cdr:sp>
      <cdr:nvSpPr>
        <cdr:cNvPr id="1" name="Rectangle 1"/>
        <cdr:cNvSpPr>
          <a:spLocks/>
        </cdr:cNvSpPr>
      </cdr:nvSpPr>
      <cdr:spPr>
        <a:xfrm>
          <a:off x="9525" y="1752600"/>
          <a:ext cx="942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estimate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0.8605</cdr:y>
    </cdr:from>
    <cdr:to>
      <cdr:x>0.27175</cdr:x>
      <cdr:y>0.99125</cdr:y>
    </cdr:to>
    <cdr:sp>
      <cdr:nvSpPr>
        <cdr:cNvPr id="1" name="Rectangle 1"/>
        <cdr:cNvSpPr>
          <a:spLocks/>
        </cdr:cNvSpPr>
      </cdr:nvSpPr>
      <cdr:spPr>
        <a:xfrm>
          <a:off x="0" y="1990725"/>
          <a:ext cx="952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estimate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29</xdr:row>
      <xdr:rowOff>47625</xdr:rowOff>
    </xdr:from>
    <xdr:to>
      <xdr:col>9</xdr:col>
      <xdr:colOff>638175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4448175" y="6067425"/>
        <a:ext cx="34671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11</xdr:row>
      <xdr:rowOff>0</xdr:rowOff>
    </xdr:from>
    <xdr:to>
      <xdr:col>9</xdr:col>
      <xdr:colOff>714375</xdr:colOff>
      <xdr:row>26</xdr:row>
      <xdr:rowOff>47625</xdr:rowOff>
    </xdr:to>
    <xdr:graphicFrame>
      <xdr:nvGraphicFramePr>
        <xdr:cNvPr id="2" name="Chart 2"/>
        <xdr:cNvGraphicFramePr/>
      </xdr:nvGraphicFramePr>
      <xdr:xfrm>
        <a:off x="4486275" y="3048000"/>
        <a:ext cx="3505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44</xdr:row>
      <xdr:rowOff>85725</xdr:rowOff>
    </xdr:from>
    <xdr:to>
      <xdr:col>9</xdr:col>
      <xdr:colOff>695325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4476750" y="8582025"/>
        <a:ext cx="349567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104775</xdr:colOff>
      <xdr:row>60</xdr:row>
      <xdr:rowOff>28575</xdr:rowOff>
    </xdr:from>
    <xdr:to>
      <xdr:col>9</xdr:col>
      <xdr:colOff>666750</xdr:colOff>
      <xdr:row>74</xdr:row>
      <xdr:rowOff>47625</xdr:rowOff>
    </xdr:to>
    <xdr:graphicFrame>
      <xdr:nvGraphicFramePr>
        <xdr:cNvPr id="4" name="Chart 4"/>
        <xdr:cNvGraphicFramePr/>
      </xdr:nvGraphicFramePr>
      <xdr:xfrm>
        <a:off x="4438650" y="11163300"/>
        <a:ext cx="350520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47625</xdr:rowOff>
    </xdr:from>
    <xdr:to>
      <xdr:col>7</xdr:col>
      <xdr:colOff>628650</xdr:colOff>
      <xdr:row>9</xdr:row>
      <xdr:rowOff>104775</xdr:rowOff>
    </xdr:to>
    <xdr:grpSp>
      <xdr:nvGrpSpPr>
        <xdr:cNvPr id="1" name="Group 94"/>
        <xdr:cNvGrpSpPr>
          <a:grpSpLocks/>
        </xdr:cNvGrpSpPr>
      </xdr:nvGrpSpPr>
      <xdr:grpSpPr>
        <a:xfrm>
          <a:off x="371475" y="371475"/>
          <a:ext cx="5591175" cy="1190625"/>
          <a:chOff x="39" y="39"/>
          <a:chExt cx="587" cy="125"/>
        </a:xfrm>
        <a:solidFill>
          <a:srgbClr val="FFFFFF"/>
        </a:solidFill>
      </xdr:grpSpPr>
      <xdr:sp>
        <xdr:nvSpPr>
          <xdr:cNvPr id="2" name="Oval 82"/>
          <xdr:cNvSpPr>
            <a:spLocks/>
          </xdr:cNvSpPr>
        </xdr:nvSpPr>
        <xdr:spPr>
          <a:xfrm>
            <a:off x="39" y="59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" name="Oval 10"/>
          <xdr:cNvSpPr>
            <a:spLocks/>
          </xdr:cNvSpPr>
        </xdr:nvSpPr>
        <xdr:spPr>
          <a:xfrm>
            <a:off x="108" y="137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" name="Polygon 68"/>
          <xdr:cNvSpPr>
            <a:spLocks/>
          </xdr:cNvSpPr>
        </xdr:nvSpPr>
        <xdr:spPr>
          <a:xfrm>
            <a:off x="70" y="69"/>
            <a:ext cx="556" cy="61"/>
          </a:xfrm>
          <a:custGeom>
            <a:pathLst>
              <a:path h="61" w="556">
                <a:moveTo>
                  <a:pt x="0" y="10"/>
                </a:moveTo>
                <a:lnTo>
                  <a:pt x="27" y="0"/>
                </a:lnTo>
                <a:lnTo>
                  <a:pt x="74" y="0"/>
                </a:lnTo>
                <a:lnTo>
                  <a:pt x="85" y="11"/>
                </a:lnTo>
                <a:lnTo>
                  <a:pt x="555" y="10"/>
                </a:lnTo>
                <a:lnTo>
                  <a:pt x="556" y="60"/>
                </a:lnTo>
                <a:lnTo>
                  <a:pt x="0" y="61"/>
                </a:lnTo>
                <a:lnTo>
                  <a:pt x="0" y="1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73"/>
          <xdr:cNvGrpSpPr>
            <a:grpSpLocks/>
          </xdr:cNvGrpSpPr>
        </xdr:nvGrpSpPr>
        <xdr:grpSpPr>
          <a:xfrm>
            <a:off x="103" y="77"/>
            <a:ext cx="40" cy="24"/>
            <a:chOff x="92" y="71"/>
            <a:chExt cx="40" cy="24"/>
          </a:xfrm>
          <a:solidFill>
            <a:srgbClr val="FFFFFF"/>
          </a:solidFill>
        </xdr:grpSpPr>
        <xdr:sp>
          <xdr:nvSpPr>
            <xdr:cNvPr id="6" name="Polygon 69"/>
            <xdr:cNvSpPr>
              <a:spLocks/>
            </xdr:cNvSpPr>
          </xdr:nvSpPr>
          <xdr:spPr>
            <a:xfrm>
              <a:off x="92" y="71"/>
              <a:ext cx="39" cy="24"/>
            </a:xfrm>
            <a:custGeom>
              <a:pathLst>
                <a:path h="24" w="39">
                  <a:moveTo>
                    <a:pt x="0" y="0"/>
                  </a:moveTo>
                  <a:lnTo>
                    <a:pt x="39" y="0"/>
                  </a:lnTo>
                  <a:lnTo>
                    <a:pt x="39" y="24"/>
                  </a:lnTo>
                  <a:lnTo>
                    <a:pt x="0" y="2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Polygon 71"/>
            <xdr:cNvSpPr>
              <a:spLocks/>
            </xdr:cNvSpPr>
          </xdr:nvSpPr>
          <xdr:spPr>
            <a:xfrm>
              <a:off x="111" y="71"/>
              <a:ext cx="21" cy="24"/>
            </a:xfrm>
            <a:custGeom>
              <a:pathLst>
                <a:path h="24" w="21">
                  <a:moveTo>
                    <a:pt x="0" y="0"/>
                  </a:moveTo>
                  <a:lnTo>
                    <a:pt x="0" y="24"/>
                  </a:lnTo>
                  <a:lnTo>
                    <a:pt x="21" y="2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Polygon 72"/>
            <xdr:cNvSpPr>
              <a:spLocks/>
            </xdr:cNvSpPr>
          </xdr:nvSpPr>
          <xdr:spPr>
            <a:xfrm>
              <a:off x="92" y="71"/>
              <a:ext cx="18" cy="24"/>
            </a:xfrm>
            <a:custGeom>
              <a:pathLst>
                <a:path h="24" w="11">
                  <a:moveTo>
                    <a:pt x="0" y="24"/>
                  </a:moveTo>
                  <a:lnTo>
                    <a:pt x="0" y="0"/>
                  </a:lnTo>
                  <a:lnTo>
                    <a:pt x="11" y="0"/>
                  </a:lnTo>
                  <a:lnTo>
                    <a:pt x="11" y="24"/>
                  </a:lnTo>
                  <a:lnTo>
                    <a:pt x="0" y="24"/>
                  </a:lnTo>
                  <a:close/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Polygon 76"/>
          <xdr:cNvSpPr>
            <a:spLocks/>
          </xdr:cNvSpPr>
        </xdr:nvSpPr>
        <xdr:spPr>
          <a:xfrm>
            <a:off x="372" y="62"/>
            <a:ext cx="18" cy="87"/>
          </a:xfrm>
          <a:custGeom>
            <a:pathLst>
              <a:path h="87" w="18">
                <a:moveTo>
                  <a:pt x="18" y="0"/>
                </a:moveTo>
                <a:lnTo>
                  <a:pt x="7" y="42"/>
                </a:lnTo>
                <a:lnTo>
                  <a:pt x="15" y="38"/>
                </a:lnTo>
                <a:lnTo>
                  <a:pt x="0" y="8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Polygon 77"/>
          <xdr:cNvSpPr>
            <a:spLocks/>
          </xdr:cNvSpPr>
        </xdr:nvSpPr>
        <xdr:spPr>
          <a:xfrm>
            <a:off x="378" y="55"/>
            <a:ext cx="18" cy="87"/>
          </a:xfrm>
          <a:custGeom>
            <a:pathLst>
              <a:path h="87" w="18">
                <a:moveTo>
                  <a:pt x="18" y="0"/>
                </a:moveTo>
                <a:lnTo>
                  <a:pt x="7" y="42"/>
                </a:lnTo>
                <a:lnTo>
                  <a:pt x="15" y="38"/>
                </a:lnTo>
                <a:lnTo>
                  <a:pt x="0" y="8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78"/>
          <xdr:cNvSpPr txBox="1">
            <a:spLocks noChangeArrowheads="1"/>
          </xdr:cNvSpPr>
        </xdr:nvSpPr>
        <xdr:spPr>
          <a:xfrm>
            <a:off x="86" y="39"/>
            <a:ext cx="14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PLAN VIEW</a:t>
            </a:r>
          </a:p>
        </xdr:txBody>
      </xdr:sp>
      <xdr:sp>
        <xdr:nvSpPr>
          <xdr:cNvPr id="12" name="Line 84"/>
          <xdr:cNvSpPr>
            <a:spLocks/>
          </xdr:cNvSpPr>
        </xdr:nvSpPr>
        <xdr:spPr>
          <a:xfrm flipH="1">
            <a:off x="173" y="80"/>
            <a:ext cx="1" cy="5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85"/>
          <xdr:cNvSpPr>
            <a:spLocks/>
          </xdr:cNvSpPr>
        </xdr:nvSpPr>
        <xdr:spPr>
          <a:xfrm flipH="1">
            <a:off x="276" y="81"/>
            <a:ext cx="1" cy="5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87"/>
          <xdr:cNvSpPr>
            <a:spLocks/>
          </xdr:cNvSpPr>
        </xdr:nvSpPr>
        <xdr:spPr>
          <a:xfrm>
            <a:off x="175" y="109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88"/>
          <xdr:cNvSpPr>
            <a:spLocks/>
          </xdr:cNvSpPr>
        </xdr:nvSpPr>
        <xdr:spPr>
          <a:xfrm>
            <a:off x="72" y="111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89"/>
          <xdr:cNvSpPr>
            <a:spLocks/>
          </xdr:cNvSpPr>
        </xdr:nvSpPr>
        <xdr:spPr>
          <a:xfrm>
            <a:off x="66" y="73"/>
            <a:ext cx="3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90"/>
          <xdr:cNvSpPr>
            <a:spLocks/>
          </xdr:cNvSpPr>
        </xdr:nvSpPr>
        <xdr:spPr>
          <a:xfrm>
            <a:off x="215" y="137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8" name="Oval 91"/>
          <xdr:cNvSpPr>
            <a:spLocks/>
          </xdr:cNvSpPr>
        </xdr:nvSpPr>
        <xdr:spPr>
          <a:xfrm>
            <a:off x="348" y="137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7"/>
  <sheetViews>
    <sheetView tabSelected="1" zoomScale="66" zoomScaleNormal="66" workbookViewId="0" topLeftCell="A1">
      <selection activeCell="A20" sqref="A20"/>
    </sheetView>
  </sheetViews>
  <sheetFormatPr defaultColWidth="9.140625" defaultRowHeight="12.75"/>
  <cols>
    <col min="1" max="1" width="25.8515625" style="0" customWidth="1"/>
    <col min="2" max="2" width="14.7109375" style="0" customWidth="1"/>
    <col min="3" max="3" width="14.8515625" style="0" customWidth="1"/>
    <col min="4" max="4" width="12.7109375" style="0" customWidth="1"/>
    <col min="5" max="5" width="13.7109375" style="0" customWidth="1"/>
    <col min="6" max="6" width="17.28125" style="0" customWidth="1"/>
    <col min="7" max="7" width="13.140625" style="0" customWidth="1"/>
    <col min="8" max="8" width="18.28125" style="0" customWidth="1"/>
    <col min="9" max="9" width="13.00390625" style="0" customWidth="1"/>
    <col min="10" max="10" width="12.7109375" style="0" customWidth="1"/>
    <col min="11" max="11" width="13.28125" style="0" customWidth="1"/>
    <col min="12" max="16384" width="11.421875" style="0" customWidth="1"/>
  </cols>
  <sheetData>
    <row r="2" ht="36.75">
      <c r="A2" s="5" t="s">
        <v>32</v>
      </c>
    </row>
    <row r="3" spans="1:2" ht="36.75">
      <c r="A3" s="5" t="s">
        <v>49</v>
      </c>
      <c r="B3" s="5"/>
    </row>
    <row r="4" spans="1:11" ht="32.25" customHeight="1" thickBot="1">
      <c r="A4" s="123"/>
      <c r="B4" s="123"/>
      <c r="C4" s="124"/>
      <c r="D4" s="124"/>
      <c r="E4" s="124"/>
      <c r="F4" s="124"/>
      <c r="G4" s="124"/>
      <c r="H4" s="167"/>
      <c r="I4" s="166" t="s">
        <v>251</v>
      </c>
      <c r="J4" s="124"/>
      <c r="K4" s="124"/>
    </row>
    <row r="5" ht="13.5" thickTop="1"/>
    <row r="6" spans="1:2" ht="22.5" customHeight="1">
      <c r="A6" s="67" t="s">
        <v>107</v>
      </c>
      <c r="B6" s="68"/>
    </row>
    <row r="7" spans="1:2" ht="9.75" customHeight="1" thickBot="1">
      <c r="A7" s="68"/>
      <c r="B7" s="68"/>
    </row>
    <row r="8" spans="1:11" ht="18" customHeight="1">
      <c r="A8" s="68"/>
      <c r="B8" s="68"/>
      <c r="C8" s="243" t="s">
        <v>20</v>
      </c>
      <c r="D8" s="245" t="s">
        <v>146</v>
      </c>
      <c r="E8" s="247" t="s">
        <v>21</v>
      </c>
      <c r="H8" s="232" t="s">
        <v>7</v>
      </c>
      <c r="I8" s="231"/>
      <c r="J8" s="231"/>
      <c r="K8" s="251"/>
    </row>
    <row r="9" spans="1:11" ht="11.25" customHeight="1" thickBot="1">
      <c r="A9" s="68"/>
      <c r="B9" s="68"/>
      <c r="C9" s="244"/>
      <c r="D9" s="246"/>
      <c r="E9" s="248"/>
      <c r="H9" s="252"/>
      <c r="I9" s="253"/>
      <c r="J9" s="253"/>
      <c r="K9" s="254"/>
    </row>
    <row r="10" spans="1:11" ht="12.75" customHeight="1">
      <c r="A10" s="69" t="s">
        <v>22</v>
      </c>
      <c r="B10" s="69"/>
      <c r="C10" s="180">
        <v>2</v>
      </c>
      <c r="D10" s="180">
        <v>10</v>
      </c>
      <c r="E10" s="70">
        <f>+D10*C10</f>
        <v>20</v>
      </c>
      <c r="H10" s="73"/>
      <c r="I10" s="71"/>
      <c r="J10" s="71"/>
      <c r="K10" s="72"/>
    </row>
    <row r="11" spans="1:11" ht="12.75" customHeight="1">
      <c r="A11" s="69" t="s">
        <v>54</v>
      </c>
      <c r="B11" s="69"/>
      <c r="C11" s="180">
        <v>2</v>
      </c>
      <c r="D11" s="180">
        <v>5</v>
      </c>
      <c r="E11" s="70">
        <f>+D11*C11</f>
        <v>10</v>
      </c>
      <c r="H11" s="73"/>
      <c r="I11" s="74"/>
      <c r="J11" s="74"/>
      <c r="K11" s="75"/>
    </row>
    <row r="12" spans="1:11" ht="12.75" customHeight="1">
      <c r="A12" s="69" t="s">
        <v>55</v>
      </c>
      <c r="B12" s="69"/>
      <c r="C12" s="180"/>
      <c r="D12" s="180"/>
      <c r="E12" s="70">
        <f aca="true" t="shared" si="0" ref="E12:E18">+D12*C12</f>
        <v>0</v>
      </c>
      <c r="F12" s="7"/>
      <c r="H12" s="73"/>
      <c r="I12" s="74"/>
      <c r="J12" s="74"/>
      <c r="K12" s="75"/>
    </row>
    <row r="13" spans="1:11" ht="12.75" customHeight="1">
      <c r="A13" s="69" t="s">
        <v>108</v>
      </c>
      <c r="B13" s="69"/>
      <c r="C13" s="180">
        <v>4</v>
      </c>
      <c r="D13" s="180">
        <v>10</v>
      </c>
      <c r="E13" s="70">
        <f t="shared" si="0"/>
        <v>40</v>
      </c>
      <c r="H13" s="73"/>
      <c r="I13" s="74"/>
      <c r="J13" s="74"/>
      <c r="K13" s="75"/>
    </row>
    <row r="14" spans="1:11" ht="12.75" customHeight="1">
      <c r="A14" s="69" t="s">
        <v>23</v>
      </c>
      <c r="B14" s="69"/>
      <c r="C14" s="180">
        <v>1</v>
      </c>
      <c r="D14" s="180">
        <v>15</v>
      </c>
      <c r="E14" s="70">
        <f t="shared" si="0"/>
        <v>15</v>
      </c>
      <c r="H14" s="73"/>
      <c r="I14" s="74"/>
      <c r="J14" s="74"/>
      <c r="K14" s="75"/>
    </row>
    <row r="15" spans="1:11" ht="12.75" customHeight="1">
      <c r="A15" s="69" t="s">
        <v>24</v>
      </c>
      <c r="B15" s="69"/>
      <c r="C15" s="180">
        <v>1</v>
      </c>
      <c r="D15" s="180">
        <v>10</v>
      </c>
      <c r="E15" s="70">
        <f t="shared" si="0"/>
        <v>10</v>
      </c>
      <c r="H15" s="73"/>
      <c r="I15" s="74"/>
      <c r="J15" s="74"/>
      <c r="K15" s="75"/>
    </row>
    <row r="16" spans="1:11" ht="12.75" customHeight="1">
      <c r="A16" s="69" t="s">
        <v>56</v>
      </c>
      <c r="B16" s="69"/>
      <c r="C16" s="180">
        <v>1</v>
      </c>
      <c r="D16" s="180">
        <v>12</v>
      </c>
      <c r="E16" s="70">
        <f t="shared" si="0"/>
        <v>12</v>
      </c>
      <c r="H16" s="73"/>
      <c r="I16" s="74"/>
      <c r="J16" s="74"/>
      <c r="K16" s="75"/>
    </row>
    <row r="17" spans="1:11" ht="12.75" customHeight="1">
      <c r="A17" s="69" t="s">
        <v>1</v>
      </c>
      <c r="B17" s="69"/>
      <c r="C17" s="180">
        <v>1</v>
      </c>
      <c r="D17" s="180">
        <v>30</v>
      </c>
      <c r="E17" s="70">
        <f t="shared" si="0"/>
        <v>30</v>
      </c>
      <c r="H17" s="73"/>
      <c r="I17" s="74"/>
      <c r="J17" s="74"/>
      <c r="K17" s="75"/>
    </row>
    <row r="18" spans="1:11" ht="15.75" thickBot="1">
      <c r="A18" s="184"/>
      <c r="B18" s="184"/>
      <c r="C18" s="180"/>
      <c r="D18" s="180"/>
      <c r="E18" s="76">
        <f t="shared" si="0"/>
        <v>0</v>
      </c>
      <c r="H18" s="73"/>
      <c r="I18" s="74"/>
      <c r="J18" s="74"/>
      <c r="K18" s="75"/>
    </row>
    <row r="19" spans="1:11" ht="15.75" thickBot="1">
      <c r="A19" s="77"/>
      <c r="B19" s="77"/>
      <c r="C19" s="77"/>
      <c r="D19" s="77"/>
      <c r="E19" s="78">
        <f>SUM(E10:E18)</f>
        <v>137</v>
      </c>
      <c r="F19" s="51" t="s">
        <v>14</v>
      </c>
      <c r="H19" s="79"/>
      <c r="I19" s="80"/>
      <c r="J19" s="80"/>
      <c r="K19" s="81"/>
    </row>
    <row r="20" spans="1:6" ht="14.25">
      <c r="A20" s="77"/>
      <c r="B20" s="77"/>
      <c r="C20" s="77"/>
      <c r="D20" s="77"/>
      <c r="E20" s="82">
        <f>+E19/60</f>
        <v>2.283333333333333</v>
      </c>
      <c r="F20" s="51" t="s">
        <v>25</v>
      </c>
    </row>
    <row r="21" spans="1:5" ht="14.25">
      <c r="A21" s="77"/>
      <c r="B21" s="77"/>
      <c r="C21" s="77"/>
      <c r="D21" s="77"/>
      <c r="E21" s="77"/>
    </row>
    <row r="22" spans="1:5" ht="14.25">
      <c r="A22" s="77"/>
      <c r="B22" s="77"/>
      <c r="C22" s="77"/>
      <c r="D22" s="77"/>
      <c r="E22" s="77"/>
    </row>
    <row r="23" spans="1:11" ht="15" thickBot="1">
      <c r="A23" s="83"/>
      <c r="B23" s="83"/>
      <c r="C23" s="83"/>
      <c r="D23" s="83"/>
      <c r="E23" s="83"/>
      <c r="F23" s="29"/>
      <c r="G23" s="29"/>
      <c r="H23" s="29"/>
      <c r="I23" s="29"/>
      <c r="J23" s="29"/>
      <c r="K23" s="29"/>
    </row>
    <row r="24" spans="1:4" ht="12.75">
      <c r="A24" s="2"/>
      <c r="B24" s="2"/>
      <c r="C24" s="2"/>
      <c r="D24" s="2"/>
    </row>
    <row r="25" spans="1:5" ht="23.25">
      <c r="A25" s="67" t="s">
        <v>231</v>
      </c>
      <c r="B25" s="68"/>
      <c r="C25" s="2"/>
      <c r="D25" s="2"/>
      <c r="E25" s="2"/>
    </row>
    <row r="26" spans="1:5" ht="21" thickBot="1">
      <c r="A26" s="68"/>
      <c r="B26" s="68"/>
      <c r="C26" s="2"/>
      <c r="D26" s="2"/>
      <c r="E26" s="2"/>
    </row>
    <row r="27" spans="1:11" ht="18" customHeight="1">
      <c r="A27" s="84" t="s">
        <v>26</v>
      </c>
      <c r="B27" s="68"/>
      <c r="C27" s="243" t="s">
        <v>20</v>
      </c>
      <c r="D27" s="245" t="s">
        <v>146</v>
      </c>
      <c r="E27" s="247" t="s">
        <v>21</v>
      </c>
      <c r="G27" s="87" t="s">
        <v>27</v>
      </c>
      <c r="I27" s="243" t="s">
        <v>20</v>
      </c>
      <c r="J27" s="245" t="s">
        <v>146</v>
      </c>
      <c r="K27" s="247" t="s">
        <v>21</v>
      </c>
    </row>
    <row r="28" spans="1:11" ht="18.75" thickBot="1">
      <c r="A28" s="84" t="s">
        <v>106</v>
      </c>
      <c r="B28" s="85"/>
      <c r="C28" s="244"/>
      <c r="D28" s="246"/>
      <c r="E28" s="248"/>
      <c r="G28" s="87" t="s">
        <v>5</v>
      </c>
      <c r="I28" s="244"/>
      <c r="J28" s="246"/>
      <c r="K28" s="248"/>
    </row>
    <row r="29" spans="1:11" ht="14.25">
      <c r="A29" s="69" t="s">
        <v>50</v>
      </c>
      <c r="B29" s="69"/>
      <c r="C29" s="180">
        <v>1</v>
      </c>
      <c r="D29" s="180">
        <v>5</v>
      </c>
      <c r="E29" s="70">
        <f aca="true" t="shared" si="1" ref="E29:E35">+D29*C29</f>
        <v>5</v>
      </c>
      <c r="G29" s="69" t="s">
        <v>28</v>
      </c>
      <c r="H29" s="51"/>
      <c r="I29" s="180">
        <v>1</v>
      </c>
      <c r="J29" s="180">
        <v>10</v>
      </c>
      <c r="K29" s="70">
        <f>+J29*I29</f>
        <v>10</v>
      </c>
    </row>
    <row r="30" spans="1:11" ht="14.25">
      <c r="A30" s="69" t="s">
        <v>51</v>
      </c>
      <c r="B30" s="69"/>
      <c r="C30" s="180">
        <v>2</v>
      </c>
      <c r="D30" s="180">
        <v>4</v>
      </c>
      <c r="E30" s="70">
        <f t="shared" si="1"/>
        <v>8</v>
      </c>
      <c r="G30" s="69" t="s">
        <v>185</v>
      </c>
      <c r="H30" s="51"/>
      <c r="I30" s="180">
        <v>1</v>
      </c>
      <c r="J30" s="180">
        <v>5</v>
      </c>
      <c r="K30" s="70">
        <f>+J30*I30</f>
        <v>5</v>
      </c>
    </row>
    <row r="31" spans="1:11" ht="14.25">
      <c r="A31" s="69" t="s">
        <v>52</v>
      </c>
      <c r="B31" s="69"/>
      <c r="C31" s="180">
        <v>2</v>
      </c>
      <c r="D31" s="180">
        <v>3</v>
      </c>
      <c r="E31" s="70">
        <f t="shared" si="1"/>
        <v>6</v>
      </c>
      <c r="G31" s="69" t="s">
        <v>188</v>
      </c>
      <c r="I31" s="180"/>
      <c r="J31" s="180"/>
      <c r="K31" s="70">
        <f>+J31*I31</f>
        <v>0</v>
      </c>
    </row>
    <row r="32" spans="1:11" ht="15" thickBot="1">
      <c r="A32" s="69" t="s">
        <v>162</v>
      </c>
      <c r="B32" s="69"/>
      <c r="C32" s="180">
        <v>1</v>
      </c>
      <c r="D32" s="180">
        <v>9</v>
      </c>
      <c r="E32" s="70">
        <f t="shared" si="1"/>
        <v>9</v>
      </c>
      <c r="G32" s="182"/>
      <c r="H32" s="183"/>
      <c r="I32" s="180"/>
      <c r="J32" s="180"/>
      <c r="K32" s="70">
        <f>+J32*I32</f>
        <v>0</v>
      </c>
    </row>
    <row r="33" spans="1:11" ht="15" thickBot="1">
      <c r="A33" s="69" t="s">
        <v>109</v>
      </c>
      <c r="B33" s="69"/>
      <c r="C33" s="180">
        <v>1</v>
      </c>
      <c r="D33" s="180">
        <v>2</v>
      </c>
      <c r="E33" s="70">
        <f t="shared" si="1"/>
        <v>2</v>
      </c>
      <c r="G33" s="88"/>
      <c r="H33" s="51"/>
      <c r="I33" s="77"/>
      <c r="J33" s="86" t="s">
        <v>149</v>
      </c>
      <c r="K33" s="78">
        <f>SUM(K29:K32)</f>
        <v>15</v>
      </c>
    </row>
    <row r="34" spans="1:11" ht="14.25">
      <c r="A34" s="181"/>
      <c r="B34" s="181"/>
      <c r="C34" s="180"/>
      <c r="D34" s="180"/>
      <c r="E34" s="70">
        <f t="shared" si="1"/>
        <v>0</v>
      </c>
      <c r="G34" s="69"/>
      <c r="H34" s="51"/>
      <c r="I34" s="51"/>
      <c r="J34" s="86" t="s">
        <v>148</v>
      </c>
      <c r="K34" s="82">
        <f>+K33/60</f>
        <v>0.25</v>
      </c>
    </row>
    <row r="35" spans="1:5" ht="15.75" customHeight="1">
      <c r="A35" s="181"/>
      <c r="B35" s="181"/>
      <c r="C35" s="180"/>
      <c r="D35" s="180"/>
      <c r="E35" s="70">
        <f t="shared" si="1"/>
        <v>0</v>
      </c>
    </row>
    <row r="36" spans="1:6" ht="14.25">
      <c r="A36" s="181"/>
      <c r="B36" s="181"/>
      <c r="C36" s="180"/>
      <c r="D36" s="180"/>
      <c r="E36" s="70">
        <f>+D36*C36</f>
        <v>0</v>
      </c>
      <c r="F36" s="51"/>
    </row>
    <row r="37" spans="1:5" ht="14.25">
      <c r="A37" s="181"/>
      <c r="B37" s="181"/>
      <c r="C37" s="180"/>
      <c r="D37" s="180"/>
      <c r="E37" s="70">
        <f>+D37*C37</f>
        <v>0</v>
      </c>
    </row>
    <row r="38" spans="1:8" ht="14.25">
      <c r="A38" s="181"/>
      <c r="B38" s="181"/>
      <c r="C38" s="180"/>
      <c r="D38" s="180"/>
      <c r="E38" s="70">
        <f>+D38*C38</f>
        <v>0</v>
      </c>
      <c r="G38" s="51"/>
      <c r="H38" s="51"/>
    </row>
    <row r="39" spans="1:8" ht="15" thickBot="1">
      <c r="A39" s="181"/>
      <c r="B39" s="181"/>
      <c r="C39" s="180"/>
      <c r="D39" s="180"/>
      <c r="E39" s="70">
        <f>+D39*C39</f>
        <v>0</v>
      </c>
      <c r="F39" s="51"/>
      <c r="G39" s="51"/>
      <c r="H39" s="51"/>
    </row>
    <row r="40" spans="1:8" ht="15" thickBot="1">
      <c r="A40" s="88"/>
      <c r="B40" s="88"/>
      <c r="C40" s="77"/>
      <c r="D40" s="77"/>
      <c r="E40" s="78">
        <f>SUM(E29:E39)</f>
        <v>30</v>
      </c>
      <c r="F40" s="51" t="s">
        <v>141</v>
      </c>
      <c r="G40" s="51"/>
      <c r="H40" s="51"/>
    </row>
    <row r="41" spans="1:8" ht="14.25">
      <c r="A41" s="88"/>
      <c r="B41" s="88"/>
      <c r="C41" s="77"/>
      <c r="D41" s="77"/>
      <c r="E41" s="82">
        <f>+E40/60</f>
        <v>0.5</v>
      </c>
      <c r="F41" s="51" t="s">
        <v>110</v>
      </c>
      <c r="G41" s="51"/>
      <c r="H41" s="51"/>
    </row>
    <row r="42" spans="1:11" ht="13.5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24" thickBot="1">
      <c r="A43" s="67" t="s">
        <v>232</v>
      </c>
    </row>
    <row r="44" spans="1:11" ht="20.25" customHeight="1">
      <c r="A44" s="215" t="s">
        <v>228</v>
      </c>
      <c r="B44" s="243" t="s">
        <v>20</v>
      </c>
      <c r="C44" s="245" t="s">
        <v>146</v>
      </c>
      <c r="D44" s="247" t="s">
        <v>21</v>
      </c>
      <c r="H44" s="68"/>
      <c r="I44" s="243" t="s">
        <v>20</v>
      </c>
      <c r="J44" s="245" t="s">
        <v>146</v>
      </c>
      <c r="K44" s="247" t="s">
        <v>21</v>
      </c>
    </row>
    <row r="45" spans="1:11" ht="18.75" thickBot="1">
      <c r="A45" s="215" t="s">
        <v>73</v>
      </c>
      <c r="B45" s="244"/>
      <c r="C45" s="246"/>
      <c r="D45" s="248"/>
      <c r="F45" s="223" t="s">
        <v>57</v>
      </c>
      <c r="H45" s="85"/>
      <c r="I45" s="244"/>
      <c r="J45" s="246"/>
      <c r="K45" s="248"/>
    </row>
    <row r="46" spans="1:11" ht="14.25">
      <c r="A46" s="69" t="s">
        <v>189</v>
      </c>
      <c r="B46" s="180">
        <v>1</v>
      </c>
      <c r="C46" s="180">
        <v>5</v>
      </c>
      <c r="D46" s="70">
        <f>+C46*B46</f>
        <v>5</v>
      </c>
      <c r="F46" s="224" t="s">
        <v>29</v>
      </c>
      <c r="H46" s="69"/>
      <c r="I46" s="180">
        <v>1</v>
      </c>
      <c r="J46" s="180">
        <v>5</v>
      </c>
      <c r="K46" s="70">
        <f aca="true" t="shared" si="2" ref="K46:K54">+J46*I46</f>
        <v>5</v>
      </c>
    </row>
    <row r="47" spans="1:11" ht="14.25">
      <c r="A47" s="69" t="s">
        <v>188</v>
      </c>
      <c r="B47" s="180">
        <v>1</v>
      </c>
      <c r="C47" s="180">
        <v>5</v>
      </c>
      <c r="D47" s="70">
        <f>+C47*B47</f>
        <v>5</v>
      </c>
      <c r="F47" s="224" t="s">
        <v>190</v>
      </c>
      <c r="H47" s="69"/>
      <c r="I47" s="180">
        <v>1</v>
      </c>
      <c r="J47" s="180">
        <v>6</v>
      </c>
      <c r="K47" s="70">
        <f t="shared" si="2"/>
        <v>6</v>
      </c>
    </row>
    <row r="48" spans="1:11" ht="14.25">
      <c r="A48" s="69" t="s">
        <v>186</v>
      </c>
      <c r="B48" s="180"/>
      <c r="C48" s="180"/>
      <c r="D48" s="70">
        <f>+C48*B48</f>
        <v>0</v>
      </c>
      <c r="F48" s="224" t="s">
        <v>31</v>
      </c>
      <c r="H48" s="69"/>
      <c r="I48" s="180">
        <v>1</v>
      </c>
      <c r="J48" s="180">
        <v>5</v>
      </c>
      <c r="K48" s="70">
        <f t="shared" si="2"/>
        <v>5</v>
      </c>
    </row>
    <row r="49" spans="1:11" ht="14.25">
      <c r="A49" s="182"/>
      <c r="B49" s="180"/>
      <c r="C49" s="180"/>
      <c r="D49" s="70">
        <f>+C49*B49</f>
        <v>0</v>
      </c>
      <c r="F49" s="224" t="s">
        <v>30</v>
      </c>
      <c r="H49" s="69"/>
      <c r="I49" s="180">
        <v>1</v>
      </c>
      <c r="J49" s="180">
        <v>8</v>
      </c>
      <c r="K49" s="70">
        <f t="shared" si="2"/>
        <v>8</v>
      </c>
    </row>
    <row r="50" spans="1:11" ht="15" thickBot="1">
      <c r="A50" s="182"/>
      <c r="B50" s="180"/>
      <c r="C50" s="180"/>
      <c r="D50" s="70">
        <f>+C50*B50</f>
        <v>0</v>
      </c>
      <c r="F50" s="224" t="s">
        <v>111</v>
      </c>
      <c r="H50" s="69"/>
      <c r="I50" s="180">
        <v>1</v>
      </c>
      <c r="J50" s="180">
        <v>5</v>
      </c>
      <c r="K50" s="70">
        <f t="shared" si="2"/>
        <v>5</v>
      </c>
    </row>
    <row r="51" spans="1:11" ht="15" thickBot="1">
      <c r="A51" s="51"/>
      <c r="B51" s="51"/>
      <c r="C51" s="86" t="s">
        <v>149</v>
      </c>
      <c r="D51" s="78">
        <f>SUM(D46:D50)</f>
        <v>10</v>
      </c>
      <c r="F51" s="224" t="s">
        <v>112</v>
      </c>
      <c r="H51" s="69"/>
      <c r="I51" s="180">
        <v>1</v>
      </c>
      <c r="J51" s="180">
        <v>5</v>
      </c>
      <c r="K51" s="70">
        <f t="shared" si="2"/>
        <v>5</v>
      </c>
    </row>
    <row r="52" spans="2:11" ht="14.25">
      <c r="B52" s="51"/>
      <c r="C52" s="86" t="s">
        <v>148</v>
      </c>
      <c r="D52" s="82">
        <f>+D51/60</f>
        <v>0.16666666666666666</v>
      </c>
      <c r="F52" s="224" t="s">
        <v>191</v>
      </c>
      <c r="H52" s="69"/>
      <c r="I52" s="180"/>
      <c r="J52" s="180"/>
      <c r="K52" s="70">
        <f t="shared" si="2"/>
        <v>0</v>
      </c>
    </row>
    <row r="53" spans="6:12" ht="14.25">
      <c r="F53" s="191"/>
      <c r="G53" s="191"/>
      <c r="H53" s="181"/>
      <c r="I53" s="180"/>
      <c r="J53" s="180"/>
      <c r="K53" s="70">
        <f t="shared" si="2"/>
        <v>0</v>
      </c>
      <c r="L53" s="51"/>
    </row>
    <row r="54" spans="6:11" ht="14.25">
      <c r="F54" s="191"/>
      <c r="G54" s="191"/>
      <c r="H54" s="181"/>
      <c r="I54" s="180"/>
      <c r="J54" s="180"/>
      <c r="K54" s="70">
        <f t="shared" si="2"/>
        <v>0</v>
      </c>
    </row>
    <row r="55" spans="6:11" ht="14.25">
      <c r="F55" s="191"/>
      <c r="G55" s="191"/>
      <c r="H55" s="181"/>
      <c r="I55" s="180"/>
      <c r="J55" s="180"/>
      <c r="K55" s="70">
        <f>+J55*I55</f>
        <v>0</v>
      </c>
    </row>
    <row r="56" spans="6:12" ht="15" thickBot="1">
      <c r="F56" s="191"/>
      <c r="G56" s="191"/>
      <c r="H56" s="181"/>
      <c r="I56" s="180"/>
      <c r="J56" s="180"/>
      <c r="K56" s="70">
        <f>+J56*I56</f>
        <v>0</v>
      </c>
      <c r="L56" s="51"/>
    </row>
    <row r="57" spans="9:12" ht="15" thickBot="1">
      <c r="I57" s="77"/>
      <c r="J57" s="86" t="s">
        <v>147</v>
      </c>
      <c r="K57" s="78">
        <f>SUM(K46:K56)</f>
        <v>34</v>
      </c>
      <c r="L57" s="51"/>
    </row>
    <row r="58" spans="10:12" ht="14.25">
      <c r="J58" s="86" t="s">
        <v>43</v>
      </c>
      <c r="K58" s="82">
        <f>+K57/60</f>
        <v>0.5666666666666667</v>
      </c>
      <c r="L58" s="51"/>
    </row>
    <row r="60" spans="1:11" ht="13.5" thickBo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2" ht="23.25">
      <c r="A62" s="67" t="s">
        <v>104</v>
      </c>
    </row>
    <row r="64" ht="18.75" thickBot="1">
      <c r="A64" s="89" t="s">
        <v>113</v>
      </c>
    </row>
    <row r="65" spans="1:11" ht="18" customHeight="1">
      <c r="A65" s="89" t="s">
        <v>36</v>
      </c>
      <c r="C65" s="243" t="s">
        <v>20</v>
      </c>
      <c r="D65" s="245" t="s">
        <v>146</v>
      </c>
      <c r="E65" s="247" t="s">
        <v>21</v>
      </c>
      <c r="G65" s="87" t="s">
        <v>234</v>
      </c>
      <c r="I65" s="243" t="s">
        <v>20</v>
      </c>
      <c r="J65" s="245" t="s">
        <v>146</v>
      </c>
      <c r="K65" s="247" t="s">
        <v>21</v>
      </c>
    </row>
    <row r="66" spans="1:11" ht="18.75" thickBot="1">
      <c r="A66" s="241" t="s">
        <v>160</v>
      </c>
      <c r="B66" s="242"/>
      <c r="C66" s="244"/>
      <c r="D66" s="246"/>
      <c r="E66" s="248"/>
      <c r="G66" s="87" t="s">
        <v>233</v>
      </c>
      <c r="I66" s="244"/>
      <c r="J66" s="246"/>
      <c r="K66" s="248"/>
    </row>
    <row r="67" spans="1:12" ht="12.75" customHeight="1">
      <c r="A67" s="239"/>
      <c r="B67" s="240"/>
      <c r="C67" s="180"/>
      <c r="D67" s="180"/>
      <c r="E67" s="70">
        <f aca="true" t="shared" si="3" ref="E67:E76">+D67*C67</f>
        <v>0</v>
      </c>
      <c r="F67" s="51"/>
      <c r="G67" s="239" t="s">
        <v>105</v>
      </c>
      <c r="H67" s="240"/>
      <c r="I67" s="179">
        <v>2</v>
      </c>
      <c r="J67" s="180">
        <v>20</v>
      </c>
      <c r="K67" s="70">
        <f aca="true" t="shared" si="4" ref="K67:K72">+J67*I67</f>
        <v>40</v>
      </c>
      <c r="L67" s="51"/>
    </row>
    <row r="68" spans="1:12" ht="14.25">
      <c r="A68" s="239" t="s">
        <v>37</v>
      </c>
      <c r="B68" s="240"/>
      <c r="C68" s="180">
        <v>4</v>
      </c>
      <c r="D68" s="180">
        <f>6*50</f>
        <v>300</v>
      </c>
      <c r="E68" s="70">
        <f t="shared" si="3"/>
        <v>1200</v>
      </c>
      <c r="F68" s="51"/>
      <c r="G68" s="239" t="s">
        <v>33</v>
      </c>
      <c r="H68" s="240"/>
      <c r="I68" s="179">
        <v>1</v>
      </c>
      <c r="J68" s="180">
        <v>30</v>
      </c>
      <c r="K68" s="70">
        <f t="shared" si="4"/>
        <v>30</v>
      </c>
      <c r="L68" s="51"/>
    </row>
    <row r="69" spans="1:12" ht="14.25">
      <c r="A69" s="239" t="s">
        <v>38</v>
      </c>
      <c r="B69" s="240"/>
      <c r="C69" s="180">
        <v>4</v>
      </c>
      <c r="D69" s="180">
        <f>4*60</f>
        <v>240</v>
      </c>
      <c r="E69" s="70">
        <f t="shared" si="3"/>
        <v>960</v>
      </c>
      <c r="F69" s="51"/>
      <c r="G69" s="239" t="s">
        <v>34</v>
      </c>
      <c r="H69" s="240"/>
      <c r="I69" s="180">
        <v>1</v>
      </c>
      <c r="J69" s="180">
        <v>30</v>
      </c>
      <c r="K69" s="70">
        <f t="shared" si="4"/>
        <v>30</v>
      </c>
      <c r="L69" s="51"/>
    </row>
    <row r="70" spans="1:12" ht="14.25">
      <c r="A70" s="239" t="s">
        <v>39</v>
      </c>
      <c r="B70" s="240"/>
      <c r="C70" s="180">
        <v>4</v>
      </c>
      <c r="D70" s="180">
        <f>4*60</f>
        <v>240</v>
      </c>
      <c r="E70" s="70">
        <f t="shared" si="3"/>
        <v>960</v>
      </c>
      <c r="F70" s="51"/>
      <c r="G70" s="239"/>
      <c r="H70" s="240"/>
      <c r="I70" s="180"/>
      <c r="J70" s="180"/>
      <c r="K70" s="70">
        <f>+J70*I70</f>
        <v>0</v>
      </c>
      <c r="L70" s="51"/>
    </row>
    <row r="71" spans="1:11" ht="14.25">
      <c r="A71" s="239" t="s">
        <v>40</v>
      </c>
      <c r="B71" s="240"/>
      <c r="C71" s="180"/>
      <c r="D71" s="180"/>
      <c r="E71" s="70">
        <f t="shared" si="3"/>
        <v>0</v>
      </c>
      <c r="F71" s="51"/>
      <c r="G71" s="237"/>
      <c r="H71" s="238"/>
      <c r="I71" s="179"/>
      <c r="J71" s="180"/>
      <c r="K71" s="76">
        <f>+J71*I71</f>
        <v>0</v>
      </c>
    </row>
    <row r="72" spans="1:11" ht="15" thickBot="1">
      <c r="A72" s="239" t="s">
        <v>41</v>
      </c>
      <c r="B72" s="240"/>
      <c r="C72" s="180">
        <v>1</v>
      </c>
      <c r="D72" s="180">
        <v>60</v>
      </c>
      <c r="E72" s="70">
        <f t="shared" si="3"/>
        <v>60</v>
      </c>
      <c r="F72" s="51"/>
      <c r="G72" s="237"/>
      <c r="H72" s="238"/>
      <c r="I72" s="179"/>
      <c r="J72" s="180"/>
      <c r="K72" s="76">
        <f t="shared" si="4"/>
        <v>0</v>
      </c>
    </row>
    <row r="73" spans="1:11" ht="15" thickBot="1">
      <c r="A73" s="239" t="s">
        <v>42</v>
      </c>
      <c r="B73" s="240"/>
      <c r="C73" s="180">
        <v>1</v>
      </c>
      <c r="D73" s="180">
        <v>120</v>
      </c>
      <c r="E73" s="70">
        <f t="shared" si="3"/>
        <v>120</v>
      </c>
      <c r="F73" s="51"/>
      <c r="G73" s="51"/>
      <c r="H73" s="51"/>
      <c r="I73" s="51"/>
      <c r="J73" s="86" t="s">
        <v>14</v>
      </c>
      <c r="K73" s="78">
        <f>SUM(K67:K72)</f>
        <v>100</v>
      </c>
    </row>
    <row r="74" spans="1:11" ht="14.25">
      <c r="A74" s="239" t="s">
        <v>114</v>
      </c>
      <c r="B74" s="240"/>
      <c r="C74" s="180"/>
      <c r="D74" s="180"/>
      <c r="E74" s="70">
        <f t="shared" si="3"/>
        <v>0</v>
      </c>
      <c r="F74" s="51"/>
      <c r="G74" s="51"/>
      <c r="H74" s="51"/>
      <c r="I74" s="51"/>
      <c r="J74" s="86" t="s">
        <v>35</v>
      </c>
      <c r="K74" s="126">
        <f>+K73/60</f>
        <v>1.6666666666666667</v>
      </c>
    </row>
    <row r="75" spans="1:10" ht="14.25">
      <c r="A75" s="237"/>
      <c r="B75" s="238"/>
      <c r="C75" s="180"/>
      <c r="D75" s="180"/>
      <c r="E75" s="70">
        <f t="shared" si="3"/>
        <v>0</v>
      </c>
      <c r="F75" s="51"/>
      <c r="I75" s="51"/>
      <c r="J75" s="86"/>
    </row>
    <row r="76" spans="1:10" ht="14.25">
      <c r="A76" s="237"/>
      <c r="B76" s="238"/>
      <c r="C76" s="180"/>
      <c r="D76" s="180"/>
      <c r="E76" s="70">
        <f t="shared" si="3"/>
        <v>0</v>
      </c>
      <c r="F76" s="51"/>
      <c r="I76" s="51"/>
      <c r="J76" s="86"/>
    </row>
    <row r="77" spans="1:10" ht="15" thickBot="1">
      <c r="A77" s="237"/>
      <c r="B77" s="238"/>
      <c r="C77" s="180"/>
      <c r="D77" s="180"/>
      <c r="E77" s="70">
        <f>+D77*C77</f>
        <v>0</v>
      </c>
      <c r="F77" s="51"/>
      <c r="I77" s="51"/>
      <c r="J77" s="86"/>
    </row>
    <row r="78" spans="1:10" ht="15" thickBot="1">
      <c r="A78" s="88"/>
      <c r="B78" s="88"/>
      <c r="C78" s="77"/>
      <c r="D78" s="77"/>
      <c r="E78" s="78">
        <f>SUM(E67:E77)</f>
        <v>3300</v>
      </c>
      <c r="F78" s="51" t="s">
        <v>14</v>
      </c>
      <c r="I78" s="51"/>
      <c r="J78" s="86"/>
    </row>
    <row r="79" spans="1:10" ht="14.25">
      <c r="A79" s="88"/>
      <c r="B79" s="88"/>
      <c r="C79" s="77"/>
      <c r="D79" s="77"/>
      <c r="E79" s="82">
        <f>+E78/60</f>
        <v>55</v>
      </c>
      <c r="F79" s="51" t="s">
        <v>35</v>
      </c>
      <c r="G79" s="51"/>
      <c r="H79" s="51"/>
      <c r="I79" s="51"/>
      <c r="J79" s="86"/>
    </row>
    <row r="80" spans="1:11" ht="13.5" thickBo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0" ht="14.25">
      <c r="A81" s="88"/>
      <c r="B81" s="88"/>
      <c r="C81" s="77"/>
      <c r="D81" s="77"/>
      <c r="F81" s="51"/>
      <c r="G81" s="51"/>
      <c r="H81" s="51"/>
      <c r="I81" s="51"/>
      <c r="J81" s="86"/>
    </row>
    <row r="82" spans="1:10" ht="14.25">
      <c r="A82" s="88"/>
      <c r="B82" s="88"/>
      <c r="C82" s="77"/>
      <c r="D82" s="77"/>
      <c r="G82" s="51"/>
      <c r="H82" s="51"/>
      <c r="I82" s="51"/>
      <c r="J82" s="86"/>
    </row>
    <row r="83" spans="1:10" ht="14.25">
      <c r="A83" s="88"/>
      <c r="B83" s="88"/>
      <c r="C83" s="77"/>
      <c r="D83" s="77"/>
      <c r="G83" s="51"/>
      <c r="H83" s="51"/>
      <c r="I83" s="51"/>
      <c r="J83" s="86"/>
    </row>
    <row r="84" spans="1:5" ht="12.75">
      <c r="A84" s="6"/>
      <c r="B84" s="6"/>
      <c r="C84" s="2"/>
      <c r="D84" s="2"/>
      <c r="E84" s="2"/>
    </row>
    <row r="85" spans="1:5" ht="12.75">
      <c r="A85" s="6"/>
      <c r="B85" s="6"/>
      <c r="C85" s="2"/>
      <c r="D85" s="2"/>
      <c r="E85" s="2"/>
    </row>
    <row r="86" spans="1:7" ht="18">
      <c r="A86" s="6"/>
      <c r="B86" s="6"/>
      <c r="C86" s="2"/>
      <c r="D86" s="2"/>
      <c r="E86" s="87"/>
      <c r="G86" s="87"/>
    </row>
    <row r="87" spans="1:7" ht="18">
      <c r="A87" s="6"/>
      <c r="B87" s="6"/>
      <c r="C87" s="2"/>
      <c r="D87" s="2"/>
      <c r="E87" s="90"/>
      <c r="G87" s="90"/>
    </row>
    <row r="88" spans="1:7" ht="14.25">
      <c r="A88" s="6"/>
      <c r="B88" s="6"/>
      <c r="C88" s="2"/>
      <c r="D88" s="2"/>
      <c r="G88" s="51"/>
    </row>
    <row r="89" spans="1:4" ht="12.75">
      <c r="A89" s="6"/>
      <c r="B89" s="6"/>
      <c r="C89" s="2"/>
      <c r="D89" s="2"/>
    </row>
    <row r="90" spans="1:4" ht="12.75">
      <c r="A90" s="6"/>
      <c r="B90" s="6"/>
      <c r="C90" s="2"/>
      <c r="D90" s="2"/>
    </row>
    <row r="91" spans="1:6" ht="15">
      <c r="A91" s="6"/>
      <c r="B91" s="6"/>
      <c r="C91" s="2"/>
      <c r="D91" s="2"/>
      <c r="E91" s="2"/>
      <c r="F91" s="91"/>
    </row>
    <row r="92" spans="1:5" ht="12.75">
      <c r="A92" s="6"/>
      <c r="B92" s="6"/>
      <c r="C92" s="2"/>
      <c r="D92" s="2"/>
      <c r="E92" s="2"/>
    </row>
    <row r="93" spans="1:5" ht="12.75">
      <c r="A93" s="6"/>
      <c r="B93" s="6"/>
      <c r="C93" s="2"/>
      <c r="D93" s="2"/>
      <c r="E93" s="2"/>
    </row>
    <row r="94" spans="1:5" ht="12.75">
      <c r="A94" s="6"/>
      <c r="B94" s="6"/>
      <c r="C94" s="2"/>
      <c r="D94" s="2"/>
      <c r="E94" s="2"/>
    </row>
    <row r="95" spans="1:5" ht="20.25">
      <c r="A95" s="92" t="s">
        <v>184</v>
      </c>
      <c r="B95" s="6"/>
      <c r="C95" s="2"/>
      <c r="D95" s="2"/>
      <c r="E95" s="2"/>
    </row>
    <row r="96" spans="1:5" ht="18">
      <c r="A96" s="170" t="s">
        <v>115</v>
      </c>
      <c r="B96" s="6"/>
      <c r="C96" s="2"/>
      <c r="D96" s="2"/>
      <c r="E96" s="2"/>
    </row>
    <row r="97" spans="1:5" ht="18">
      <c r="A97" s="170" t="s">
        <v>117</v>
      </c>
      <c r="B97" s="6"/>
      <c r="C97" s="2"/>
      <c r="D97" s="2"/>
      <c r="E97" s="2"/>
    </row>
    <row r="98" spans="1:5" ht="18">
      <c r="A98" s="170" t="s">
        <v>116</v>
      </c>
      <c r="B98" s="6"/>
      <c r="C98" s="2"/>
      <c r="D98" s="2"/>
      <c r="E98" s="2"/>
    </row>
    <row r="99" spans="1:5" ht="18">
      <c r="A99" s="170" t="s">
        <v>183</v>
      </c>
      <c r="B99" s="6"/>
      <c r="C99" s="2"/>
      <c r="D99" s="2"/>
      <c r="E99" s="2"/>
    </row>
    <row r="100" spans="1:5" ht="18">
      <c r="A100" s="169"/>
      <c r="B100" s="6"/>
      <c r="C100" s="2"/>
      <c r="D100" s="2"/>
      <c r="E100" s="2"/>
    </row>
    <row r="101" spans="1:5" ht="12.75">
      <c r="A101" s="168"/>
      <c r="B101" s="6"/>
      <c r="C101" s="2"/>
      <c r="D101" s="2"/>
      <c r="E101" s="2"/>
    </row>
    <row r="102" spans="1:5" ht="23.25">
      <c r="A102" s="67" t="s">
        <v>238</v>
      </c>
      <c r="B102" s="68"/>
      <c r="C102" s="2"/>
      <c r="D102" s="2"/>
      <c r="E102" s="2"/>
    </row>
    <row r="103" spans="1:5" ht="12.75">
      <c r="A103" s="6"/>
      <c r="B103" s="6"/>
      <c r="C103" s="31"/>
      <c r="D103" s="31"/>
      <c r="E103" s="31"/>
    </row>
    <row r="104" spans="1:5" ht="21" thickBot="1">
      <c r="A104" s="92" t="s">
        <v>245</v>
      </c>
      <c r="B104" s="6"/>
      <c r="C104" s="31"/>
      <c r="D104" s="31"/>
      <c r="E104" s="31"/>
    </row>
    <row r="105" spans="1:9" ht="20.25">
      <c r="A105" s="92"/>
      <c r="B105" s="351" t="s">
        <v>44</v>
      </c>
      <c r="C105" s="352"/>
      <c r="D105" s="31"/>
      <c r="E105" s="351" t="s">
        <v>46</v>
      </c>
      <c r="F105" s="352"/>
      <c r="H105" s="361" t="s">
        <v>47</v>
      </c>
      <c r="I105" s="362"/>
    </row>
    <row r="106" spans="1:9" ht="18">
      <c r="A106" s="6"/>
      <c r="B106" s="355" t="s">
        <v>45</v>
      </c>
      <c r="C106" s="356"/>
      <c r="E106" s="355" t="s">
        <v>45</v>
      </c>
      <c r="F106" s="356"/>
      <c r="H106" s="363" t="s">
        <v>48</v>
      </c>
      <c r="I106" s="364"/>
    </row>
    <row r="107" spans="1:9" ht="12.75">
      <c r="A107" s="2"/>
      <c r="B107" s="27"/>
      <c r="C107" s="24"/>
      <c r="E107" s="27"/>
      <c r="F107" s="24"/>
      <c r="H107" s="365" t="s">
        <v>235</v>
      </c>
      <c r="I107" s="366"/>
    </row>
    <row r="108" spans="1:11" ht="12.75">
      <c r="A108" s="2"/>
      <c r="B108" s="93" t="s">
        <v>192</v>
      </c>
      <c r="C108" s="176">
        <v>1.8</v>
      </c>
      <c r="E108" s="93" t="s">
        <v>197</v>
      </c>
      <c r="F108" s="175">
        <v>80</v>
      </c>
      <c r="H108" s="93" t="s">
        <v>197</v>
      </c>
      <c r="I108" s="175">
        <v>6</v>
      </c>
      <c r="J108" s="367" t="s">
        <v>202</v>
      </c>
      <c r="K108" s="340"/>
    </row>
    <row r="109" spans="1:11" ht="12.75">
      <c r="A109" s="2"/>
      <c r="B109" s="27" t="s">
        <v>193</v>
      </c>
      <c r="C109" s="176">
        <v>1.7</v>
      </c>
      <c r="E109" s="94" t="s">
        <v>194</v>
      </c>
      <c r="F109" s="55">
        <f>+C110</f>
        <v>2.7</v>
      </c>
      <c r="H109" s="94" t="s">
        <v>199</v>
      </c>
      <c r="I109" s="189">
        <v>3</v>
      </c>
      <c r="J109" s="359">
        <f>ROUNDUP(+I108*I109*I110/F109/F110,1)</f>
        <v>9.299999999999999</v>
      </c>
      <c r="K109" s="360"/>
    </row>
    <row r="110" spans="1:11" ht="12.75">
      <c r="A110" s="2"/>
      <c r="B110" s="94" t="s">
        <v>194</v>
      </c>
      <c r="C110" s="177">
        <v>2.7</v>
      </c>
      <c r="E110" s="94" t="s">
        <v>198</v>
      </c>
      <c r="F110" s="55">
        <f>+C111</f>
        <v>1.8</v>
      </c>
      <c r="H110" s="94" t="s">
        <v>198</v>
      </c>
      <c r="I110" s="189">
        <v>2.5</v>
      </c>
      <c r="J110" s="357" t="s">
        <v>203</v>
      </c>
      <c r="K110" s="358"/>
    </row>
    <row r="111" spans="1:11" ht="12.75" customHeight="1">
      <c r="A111" s="2"/>
      <c r="B111" s="94" t="s">
        <v>195</v>
      </c>
      <c r="C111" s="177">
        <v>1.8</v>
      </c>
      <c r="E111" s="94" t="s">
        <v>118</v>
      </c>
      <c r="F111" s="102">
        <f>ROUNDUP(F108/C109,0)</f>
        <v>48</v>
      </c>
      <c r="H111" s="94" t="s">
        <v>200</v>
      </c>
      <c r="I111" s="175">
        <v>4</v>
      </c>
      <c r="J111" s="368">
        <v>2.95</v>
      </c>
      <c r="K111" s="369"/>
    </row>
    <row r="112" spans="1:11" ht="18" customHeight="1" thickBot="1">
      <c r="A112" s="29"/>
      <c r="B112" s="127" t="s">
        <v>196</v>
      </c>
      <c r="C112" s="128">
        <f>ROUNDUP(+C109*C110*C111*J111,0)</f>
        <v>25</v>
      </c>
      <c r="D112" s="29"/>
      <c r="E112" s="127" t="s">
        <v>196</v>
      </c>
      <c r="F112" s="128">
        <f>ROUNDUP(F108*F109*F110*J111,0)</f>
        <v>1147</v>
      </c>
      <c r="G112" s="29"/>
      <c r="H112" s="127" t="s">
        <v>196</v>
      </c>
      <c r="I112" s="128">
        <f>IF(I111=0,0,ROUNDUP(+I108*I109*I110*J111,0))</f>
        <v>133</v>
      </c>
      <c r="J112" s="29"/>
      <c r="K112" s="29"/>
    </row>
    <row r="113" spans="1:11" ht="12.75">
      <c r="A113" s="2"/>
      <c r="B113" s="27"/>
      <c r="C113" s="24"/>
      <c r="D113" s="2"/>
      <c r="E113" s="27"/>
      <c r="F113" s="24"/>
      <c r="G113" s="2"/>
      <c r="H113" s="2"/>
      <c r="I113" s="2"/>
      <c r="J113" s="2"/>
      <c r="K113" s="2"/>
    </row>
    <row r="114" spans="1:11" ht="20.25">
      <c r="A114" s="92" t="s">
        <v>239</v>
      </c>
      <c r="B114" s="27"/>
      <c r="C114" s="24"/>
      <c r="D114" s="2"/>
      <c r="E114" s="27"/>
      <c r="F114" s="24"/>
      <c r="G114" s="2"/>
      <c r="H114" s="2"/>
      <c r="I114" s="2"/>
      <c r="J114" s="2"/>
      <c r="K114" s="2"/>
    </row>
    <row r="115" spans="2:6" ht="18" customHeight="1">
      <c r="B115" s="54" t="s">
        <v>204</v>
      </c>
      <c r="C115" s="24"/>
      <c r="E115" s="27"/>
      <c r="F115" s="344" t="s">
        <v>250</v>
      </c>
    </row>
    <row r="116" spans="1:7" ht="12.75" customHeight="1">
      <c r="A116" s="353" t="s">
        <v>201</v>
      </c>
      <c r="B116" s="54" t="s">
        <v>150</v>
      </c>
      <c r="C116" s="53" t="s">
        <v>35</v>
      </c>
      <c r="E116" s="27"/>
      <c r="F116" s="345"/>
      <c r="G116" s="10"/>
    </row>
    <row r="117" spans="1:6" ht="12.75">
      <c r="A117" s="354"/>
      <c r="B117" s="171">
        <v>10</v>
      </c>
      <c r="C117" s="55">
        <f>ROUNDUP(B117/60*C109,1)</f>
        <v>0.30000000000000004</v>
      </c>
      <c r="E117" s="27"/>
      <c r="F117" s="55">
        <f>ROUNDUP(B117/60*F108,1)</f>
        <v>13.4</v>
      </c>
    </row>
    <row r="118" spans="1:11" ht="13.5" thickBot="1">
      <c r="A118" s="29"/>
      <c r="B118" s="28"/>
      <c r="C118" s="30"/>
      <c r="D118" s="29"/>
      <c r="E118" s="28"/>
      <c r="F118" s="30"/>
      <c r="G118" s="29"/>
      <c r="H118" s="29"/>
      <c r="I118" s="29"/>
      <c r="J118" s="29"/>
      <c r="K118" s="29"/>
    </row>
    <row r="119" spans="1:11" ht="12.75">
      <c r="A119" s="2"/>
      <c r="B119" s="27"/>
      <c r="C119" s="24"/>
      <c r="D119" s="2"/>
      <c r="E119" s="27"/>
      <c r="F119" s="24"/>
      <c r="G119" s="2"/>
      <c r="H119" s="2"/>
      <c r="I119" s="2"/>
      <c r="J119" s="2"/>
      <c r="K119" s="2"/>
    </row>
    <row r="120" spans="1:11" ht="20.25">
      <c r="A120" s="92" t="s">
        <v>240</v>
      </c>
      <c r="B120" s="27"/>
      <c r="C120" s="24"/>
      <c r="D120" s="2"/>
      <c r="E120" s="27"/>
      <c r="F120" s="24"/>
      <c r="G120" s="255" t="s">
        <v>59</v>
      </c>
      <c r="H120" s="256"/>
      <c r="I120" s="256"/>
      <c r="J120" s="256"/>
      <c r="K120" s="257"/>
    </row>
    <row r="121" spans="2:11" ht="12.75">
      <c r="B121" s="27"/>
      <c r="C121" s="24"/>
      <c r="E121" s="27"/>
      <c r="F121" s="24"/>
      <c r="G121" s="96" t="s">
        <v>121</v>
      </c>
      <c r="H121" s="96"/>
      <c r="I121" s="96"/>
      <c r="J121" s="97"/>
      <c r="K121" s="174">
        <v>2.16</v>
      </c>
    </row>
    <row r="122" spans="2:11" ht="15.75" customHeight="1">
      <c r="B122" s="27"/>
      <c r="C122" s="53" t="s">
        <v>35</v>
      </c>
      <c r="E122" s="27"/>
      <c r="F122" s="53" t="s">
        <v>35</v>
      </c>
      <c r="G122" s="258" t="s">
        <v>247</v>
      </c>
      <c r="H122" s="259"/>
      <c r="I122" s="259"/>
      <c r="J122" s="260"/>
      <c r="K122" s="264">
        <v>0.5</v>
      </c>
    </row>
    <row r="123" spans="1:11" ht="12.75">
      <c r="A123" s="52" t="s">
        <v>205</v>
      </c>
      <c r="B123" s="27"/>
      <c r="C123" s="55">
        <f>ROUNDUP(+K136/K126*C109,1)</f>
        <v>0.7</v>
      </c>
      <c r="E123" s="27"/>
      <c r="F123" s="55">
        <f>+ROUNDUP(C123*K163,1)</f>
        <v>36.4</v>
      </c>
      <c r="G123" s="261"/>
      <c r="H123" s="262"/>
      <c r="I123" s="262"/>
      <c r="J123" s="263"/>
      <c r="K123" s="265"/>
    </row>
    <row r="124" spans="2:11" ht="12.75" customHeight="1">
      <c r="B124" s="249" t="s">
        <v>206</v>
      </c>
      <c r="C124" s="24"/>
      <c r="E124" s="27"/>
      <c r="F124" s="24"/>
      <c r="G124" s="43" t="s">
        <v>177</v>
      </c>
      <c r="H124" s="98"/>
      <c r="I124" s="98"/>
      <c r="J124" s="56"/>
      <c r="K124" s="99">
        <f>+K122+K121</f>
        <v>2.66</v>
      </c>
    </row>
    <row r="125" spans="2:11" ht="13.5" thickBot="1">
      <c r="B125" s="249"/>
      <c r="C125" s="53" t="s">
        <v>35</v>
      </c>
      <c r="E125" s="27"/>
      <c r="F125" s="53" t="s">
        <v>35</v>
      </c>
      <c r="G125" s="129"/>
      <c r="H125" s="129"/>
      <c r="I125" s="129"/>
      <c r="K125" s="100"/>
    </row>
    <row r="126" spans="1:11" ht="15">
      <c r="A126" s="216" t="s">
        <v>208</v>
      </c>
      <c r="B126" s="171">
        <v>8.5</v>
      </c>
      <c r="C126" s="55">
        <f>+ROUNDUP(B126/60*J136*C109,1)</f>
        <v>1.7000000000000002</v>
      </c>
      <c r="E126" s="27"/>
      <c r="F126" s="55">
        <f>+ROUNDUP(C126*K163,1)</f>
        <v>88.4</v>
      </c>
      <c r="G126" s="370" t="s">
        <v>209</v>
      </c>
      <c r="H126" s="371"/>
      <c r="I126" s="371"/>
      <c r="J126" s="372"/>
      <c r="K126" s="266">
        <f>1.2/K124*60</f>
        <v>27.06766917293233</v>
      </c>
    </row>
    <row r="127" spans="1:11" ht="15.75" thickBot="1">
      <c r="A127" s="217" t="s">
        <v>207</v>
      </c>
      <c r="B127" s="27"/>
      <c r="C127" s="95" t="s">
        <v>53</v>
      </c>
      <c r="E127" s="27"/>
      <c r="F127" s="95" t="s">
        <v>53</v>
      </c>
      <c r="G127" s="373" t="s">
        <v>122</v>
      </c>
      <c r="H127" s="374"/>
      <c r="I127" s="374"/>
      <c r="J127" s="375"/>
      <c r="K127" s="267"/>
    </row>
    <row r="128" spans="1:11" ht="12.75">
      <c r="A128" s="2"/>
      <c r="B128" s="27"/>
      <c r="C128" s="55">
        <f>+C123+C126</f>
        <v>2.4000000000000004</v>
      </c>
      <c r="D128" s="2"/>
      <c r="E128" s="27"/>
      <c r="F128" s="55">
        <f>+F123+F126</f>
        <v>124.80000000000001</v>
      </c>
      <c r="G128" s="2"/>
      <c r="H128" s="2"/>
      <c r="I128" s="2"/>
      <c r="J128" s="2"/>
      <c r="K128" s="2"/>
    </row>
    <row r="129" spans="2:11" ht="15.75">
      <c r="B129" s="27"/>
      <c r="C129" s="24"/>
      <c r="D129" s="2"/>
      <c r="E129" s="27"/>
      <c r="F129" s="24"/>
      <c r="G129" s="255" t="s">
        <v>60</v>
      </c>
      <c r="H129" s="256"/>
      <c r="I129" s="256"/>
      <c r="J129" s="256"/>
      <c r="K129" s="257"/>
    </row>
    <row r="130" spans="2:11" ht="15.75">
      <c r="B130" s="27"/>
      <c r="C130" s="24"/>
      <c r="D130" s="2"/>
      <c r="E130" s="27"/>
      <c r="F130" s="24"/>
      <c r="G130" s="346"/>
      <c r="H130" s="347"/>
      <c r="I130" s="348" t="s">
        <v>119</v>
      </c>
      <c r="J130" s="348" t="s">
        <v>180</v>
      </c>
      <c r="K130" s="312" t="s">
        <v>181</v>
      </c>
    </row>
    <row r="131" spans="2:11" ht="15.75">
      <c r="B131" s="27"/>
      <c r="C131" s="24"/>
      <c r="D131" s="2"/>
      <c r="E131" s="27"/>
      <c r="F131" s="24"/>
      <c r="G131" s="193"/>
      <c r="H131" s="192"/>
      <c r="I131" s="349"/>
      <c r="J131" s="349"/>
      <c r="K131" s="313"/>
    </row>
    <row r="132" spans="2:11" ht="15.75">
      <c r="B132" s="27"/>
      <c r="C132" s="24"/>
      <c r="D132" s="2"/>
      <c r="E132" s="27"/>
      <c r="F132" s="24"/>
      <c r="G132" s="310"/>
      <c r="H132" s="311"/>
      <c r="I132" s="350"/>
      <c r="J132" s="350"/>
      <c r="K132" s="314"/>
    </row>
    <row r="133" spans="2:11" ht="12.75">
      <c r="B133" s="27"/>
      <c r="C133" s="24"/>
      <c r="D133" s="2"/>
      <c r="E133" s="27"/>
      <c r="F133" s="24"/>
      <c r="G133" s="340" t="s">
        <v>210</v>
      </c>
      <c r="H133" s="341"/>
      <c r="I133" s="172">
        <v>1.67</v>
      </c>
      <c r="J133" s="226">
        <v>3</v>
      </c>
      <c r="K133" s="41">
        <f>ROUND(J133*I133/1.2+0.1,1)</f>
        <v>4.3</v>
      </c>
    </row>
    <row r="134" spans="2:11" ht="12.75">
      <c r="B134" s="27"/>
      <c r="C134" s="24"/>
      <c r="D134" s="2"/>
      <c r="E134" s="27"/>
      <c r="F134" s="24"/>
      <c r="G134" s="340" t="s">
        <v>211</v>
      </c>
      <c r="H134" s="341"/>
      <c r="I134" s="172">
        <v>1.67</v>
      </c>
      <c r="J134" s="226">
        <v>2</v>
      </c>
      <c r="K134" s="41">
        <f>ROUND(J134*I134/1.2+0.1,1)</f>
        <v>2.9</v>
      </c>
    </row>
    <row r="135" spans="2:11" ht="12.75" customHeight="1">
      <c r="B135" s="27"/>
      <c r="C135" s="24"/>
      <c r="D135" s="2"/>
      <c r="E135" s="27"/>
      <c r="F135" s="24"/>
      <c r="G135" s="340" t="s">
        <v>212</v>
      </c>
      <c r="H135" s="341"/>
      <c r="I135" s="172">
        <v>1.67</v>
      </c>
      <c r="J135" s="226">
        <v>2</v>
      </c>
      <c r="K135" s="41">
        <f>ROUND(J135*I135/1.2+0.1,1)</f>
        <v>2.9</v>
      </c>
    </row>
    <row r="136" spans="2:11" ht="12.75">
      <c r="B136" s="27"/>
      <c r="C136" s="24"/>
      <c r="D136" s="2"/>
      <c r="E136" s="27"/>
      <c r="F136" s="24"/>
      <c r="G136" s="2"/>
      <c r="J136" s="42">
        <f>SUM(J133:J135)</f>
        <v>7</v>
      </c>
      <c r="K136" s="41">
        <f>SUM(K133:K135)</f>
        <v>10.1</v>
      </c>
    </row>
    <row r="137" spans="1:11" ht="13.5" thickBot="1">
      <c r="A137" s="29"/>
      <c r="B137" s="28"/>
      <c r="C137" s="30"/>
      <c r="D137" s="29"/>
      <c r="E137" s="28"/>
      <c r="F137" s="30"/>
      <c r="G137" s="29"/>
      <c r="H137" s="29"/>
      <c r="I137" s="29"/>
      <c r="J137" s="29"/>
      <c r="K137" s="29"/>
    </row>
    <row r="138" spans="1:11" ht="12.75">
      <c r="A138" s="2"/>
      <c r="B138" s="27"/>
      <c r="C138" s="24"/>
      <c r="D138" s="2"/>
      <c r="E138" s="27"/>
      <c r="F138" s="24"/>
      <c r="G138" s="2"/>
      <c r="H138" s="2"/>
      <c r="I138" s="2"/>
      <c r="J138" s="2"/>
      <c r="K138" s="2"/>
    </row>
    <row r="139" spans="1:6" ht="20.25">
      <c r="A139" s="92" t="s">
        <v>241</v>
      </c>
      <c r="B139" s="54"/>
      <c r="C139" s="53"/>
      <c r="D139" s="2"/>
      <c r="E139" s="27"/>
      <c r="F139" s="121"/>
    </row>
    <row r="140" spans="1:6" ht="12.75">
      <c r="A140" s="2"/>
      <c r="B140" s="54" t="s">
        <v>214</v>
      </c>
      <c r="C140" s="53" t="s">
        <v>35</v>
      </c>
      <c r="E140" s="54" t="s">
        <v>214</v>
      </c>
      <c r="F140" s="53" t="s">
        <v>35</v>
      </c>
    </row>
    <row r="141" spans="1:6" ht="12.75">
      <c r="A141" s="1" t="s">
        <v>213</v>
      </c>
      <c r="B141" s="171">
        <v>46</v>
      </c>
      <c r="C141" s="55">
        <f>+ROUNDUP(C112/B141,1)</f>
        <v>0.6</v>
      </c>
      <c r="E141" s="171">
        <v>46</v>
      </c>
      <c r="F141" s="55">
        <f>+ROUNDUP(F112/E141,1)</f>
        <v>25</v>
      </c>
    </row>
    <row r="142" spans="1:11" ht="13.5" thickBot="1">
      <c r="A142" s="29"/>
      <c r="B142" s="28"/>
      <c r="C142" s="122"/>
      <c r="D142" s="29"/>
      <c r="E142" s="28"/>
      <c r="F142" s="122"/>
      <c r="G142" s="29"/>
      <c r="H142" s="29"/>
      <c r="I142" s="29"/>
      <c r="J142" s="29"/>
      <c r="K142" s="29"/>
    </row>
    <row r="143" spans="1:11" ht="12.75">
      <c r="A143" s="2"/>
      <c r="B143" s="27"/>
      <c r="C143" s="121"/>
      <c r="D143" s="2"/>
      <c r="E143" s="27"/>
      <c r="F143" s="53"/>
      <c r="G143" s="2"/>
      <c r="H143" s="2"/>
      <c r="I143" s="2"/>
      <c r="J143" s="2"/>
      <c r="K143" s="2"/>
    </row>
    <row r="144" spans="1:11" ht="20.25">
      <c r="A144" s="92" t="s">
        <v>242</v>
      </c>
      <c r="B144" s="27"/>
      <c r="C144" s="121"/>
      <c r="D144" s="2"/>
      <c r="E144" s="27"/>
      <c r="F144" s="53"/>
      <c r="G144" s="255" t="s">
        <v>155</v>
      </c>
      <c r="H144" s="256"/>
      <c r="I144" s="256"/>
      <c r="J144" s="256"/>
      <c r="K144" s="257"/>
    </row>
    <row r="145" spans="1:11" ht="18" customHeight="1">
      <c r="A145" s="2"/>
      <c r="B145" s="235" t="s">
        <v>120</v>
      </c>
      <c r="C145" s="236"/>
      <c r="E145" s="54"/>
      <c r="F145" s="53"/>
      <c r="G145" s="96" t="s">
        <v>121</v>
      </c>
      <c r="H145" s="96"/>
      <c r="I145" s="96"/>
      <c r="J145" s="97"/>
      <c r="K145" s="174">
        <v>2.16</v>
      </c>
    </row>
    <row r="146" spans="1:11" ht="18" customHeight="1">
      <c r="A146" s="92"/>
      <c r="B146" s="233">
        <v>33</v>
      </c>
      <c r="C146" s="234"/>
      <c r="E146" s="54"/>
      <c r="F146" s="53"/>
      <c r="G146" s="258" t="s">
        <v>248</v>
      </c>
      <c r="H146" s="259"/>
      <c r="I146" s="259"/>
      <c r="J146" s="260"/>
      <c r="K146" s="264">
        <v>2</v>
      </c>
    </row>
    <row r="147" spans="1:11" ht="18" customHeight="1">
      <c r="A147" s="92"/>
      <c r="B147" s="54"/>
      <c r="C147" s="53"/>
      <c r="E147" s="54"/>
      <c r="F147" s="53"/>
      <c r="G147" s="261"/>
      <c r="H147" s="262"/>
      <c r="I147" s="262"/>
      <c r="J147" s="263"/>
      <c r="K147" s="265"/>
    </row>
    <row r="148" spans="1:11" ht="18" customHeight="1">
      <c r="A148" s="92"/>
      <c r="B148" s="54"/>
      <c r="C148" s="53"/>
      <c r="E148" s="54"/>
      <c r="F148" s="53"/>
      <c r="G148" s="43" t="s">
        <v>58</v>
      </c>
      <c r="H148" s="98"/>
      <c r="I148" s="98"/>
      <c r="J148" s="56"/>
      <c r="K148" s="99">
        <f>+K146+K145*2</f>
        <v>6.32</v>
      </c>
    </row>
    <row r="149" spans="1:11" ht="18" customHeight="1" thickBot="1">
      <c r="A149" s="92"/>
      <c r="B149" s="54"/>
      <c r="C149" s="53"/>
      <c r="E149" s="54"/>
      <c r="F149" s="53"/>
      <c r="G149" s="129"/>
      <c r="H149" s="129"/>
      <c r="I149" s="129"/>
      <c r="K149" s="100"/>
    </row>
    <row r="150" spans="1:11" ht="18" customHeight="1">
      <c r="A150" s="2"/>
      <c r="B150" s="54"/>
      <c r="C150" s="53" t="s">
        <v>63</v>
      </c>
      <c r="E150" s="54"/>
      <c r="F150" s="53" t="s">
        <v>63</v>
      </c>
      <c r="G150" s="268" t="s">
        <v>61</v>
      </c>
      <c r="H150" s="269"/>
      <c r="I150" s="269"/>
      <c r="J150" s="270"/>
      <c r="K150" s="266">
        <f>2.4/K148*60</f>
        <v>22.784810126582276</v>
      </c>
    </row>
    <row r="151" spans="1:11" ht="18" customHeight="1" thickBot="1">
      <c r="A151" s="45" t="s">
        <v>215</v>
      </c>
      <c r="B151" s="54"/>
      <c r="C151" s="39">
        <f>C108*B146</f>
        <v>59.4</v>
      </c>
      <c r="E151" s="54"/>
      <c r="F151" s="55">
        <f>+F111*C151</f>
        <v>2851.2</v>
      </c>
      <c r="G151" s="271" t="s">
        <v>122</v>
      </c>
      <c r="H151" s="272"/>
      <c r="I151" s="272"/>
      <c r="J151" s="273"/>
      <c r="K151" s="267"/>
    </row>
    <row r="152" spans="1:6" ht="7.5" customHeight="1" thickBot="1">
      <c r="A152" s="130"/>
      <c r="B152" s="54"/>
      <c r="C152" s="53"/>
      <c r="E152" s="54"/>
      <c r="F152" s="53"/>
    </row>
    <row r="153" spans="1:8" ht="18" customHeight="1">
      <c r="A153" s="2"/>
      <c r="B153" s="54"/>
      <c r="C153" s="53" t="s">
        <v>35</v>
      </c>
      <c r="E153" s="54"/>
      <c r="F153" s="53" t="s">
        <v>35</v>
      </c>
      <c r="H153" s="194" t="s">
        <v>123</v>
      </c>
    </row>
    <row r="154" spans="1:8" ht="18" customHeight="1" thickBot="1">
      <c r="A154" s="52" t="s">
        <v>216</v>
      </c>
      <c r="B154" s="54"/>
      <c r="C154" s="55">
        <f>ROUNDUP(C151/$K$150,1)</f>
        <v>2.7</v>
      </c>
      <c r="E154" s="54"/>
      <c r="F154" s="55">
        <f>ROUNDUP(F151/$K$150,1)</f>
        <v>125.19999999999999</v>
      </c>
      <c r="H154" s="131">
        <f>+C112/B146/C108</f>
        <v>0.42087542087542085</v>
      </c>
    </row>
    <row r="155" spans="1:11" ht="13.5" thickBot="1">
      <c r="A155" s="29"/>
      <c r="B155" s="28"/>
      <c r="C155" s="30"/>
      <c r="D155" s="29"/>
      <c r="E155" s="28"/>
      <c r="F155" s="30"/>
      <c r="G155" s="28"/>
      <c r="H155" s="29"/>
      <c r="I155" s="29"/>
      <c r="J155" s="29"/>
      <c r="K155" s="29"/>
    </row>
    <row r="156" spans="1:11" ht="12.75">
      <c r="A156" s="2"/>
      <c r="B156" s="27"/>
      <c r="C156" s="24"/>
      <c r="D156" s="2"/>
      <c r="E156" s="27"/>
      <c r="F156" s="24"/>
      <c r="G156" s="2"/>
      <c r="H156" s="2"/>
      <c r="I156" s="2"/>
      <c r="J156" s="2"/>
      <c r="K156" s="2"/>
    </row>
    <row r="157" spans="1:11" ht="20.25">
      <c r="A157" s="92" t="s">
        <v>243</v>
      </c>
      <c r="B157" s="54"/>
      <c r="C157" s="197" t="s">
        <v>152</v>
      </c>
      <c r="D157" s="2"/>
      <c r="E157" s="27"/>
      <c r="F157" s="53"/>
      <c r="G157" s="255" t="s">
        <v>64</v>
      </c>
      <c r="H157" s="256"/>
      <c r="I157" s="256"/>
      <c r="J157" s="256"/>
      <c r="K157" s="257"/>
    </row>
    <row r="158" spans="2:11" ht="18" customHeight="1">
      <c r="B158" s="54"/>
      <c r="C158" s="196">
        <v>27</v>
      </c>
      <c r="D158" s="2"/>
      <c r="E158" s="27"/>
      <c r="F158" s="24"/>
      <c r="G158" s="52"/>
      <c r="H158" s="195" t="s">
        <v>218</v>
      </c>
      <c r="I158" s="185">
        <v>32</v>
      </c>
      <c r="J158" s="280" t="s">
        <v>176</v>
      </c>
      <c r="K158" s="281"/>
    </row>
    <row r="159" spans="2:11" ht="20.25" customHeight="1">
      <c r="B159" s="249" t="s">
        <v>151</v>
      </c>
      <c r="C159" s="24"/>
      <c r="D159" s="2"/>
      <c r="E159" s="54"/>
      <c r="F159" s="338" t="s">
        <v>217</v>
      </c>
      <c r="G159" s="132"/>
      <c r="H159" s="195" t="s">
        <v>219</v>
      </c>
      <c r="I159" s="186">
        <v>1.01</v>
      </c>
      <c r="J159" s="281"/>
      <c r="K159" s="281"/>
    </row>
    <row r="160" spans="1:12" ht="12.75" customHeight="1">
      <c r="A160" s="2"/>
      <c r="B160" s="250"/>
      <c r="C160" s="53" t="s">
        <v>35</v>
      </c>
      <c r="E160" s="54"/>
      <c r="F160" s="339"/>
      <c r="J160" s="281"/>
      <c r="K160" s="281"/>
      <c r="L160" s="10"/>
    </row>
    <row r="161" spans="1:11" ht="15.75" thickBot="1">
      <c r="A161" s="52" t="s">
        <v>161</v>
      </c>
      <c r="B161" s="208">
        <v>1.3</v>
      </c>
      <c r="C161" s="55">
        <f>ROUNDUP(B146*B161/60,1)</f>
        <v>0.7999999999999999</v>
      </c>
      <c r="E161" s="54"/>
      <c r="F161" s="55">
        <f>ROUNDUP(C161*K163,1)</f>
        <v>41.6</v>
      </c>
      <c r="G161" s="274" t="s">
        <v>220</v>
      </c>
      <c r="H161" s="275"/>
      <c r="I161" s="101">
        <f>POWER(I158/1000,2)*PI()/4*1000*I159</f>
        <v>0.8122901965121768</v>
      </c>
      <c r="J161" s="278">
        <f>+I161*C108/C112*B146</f>
        <v>1.9300015069129322</v>
      </c>
      <c r="K161" s="279"/>
    </row>
    <row r="162" spans="2:6" ht="15" customHeight="1" thickBot="1">
      <c r="B162" s="27"/>
      <c r="C162" s="24"/>
      <c r="E162" s="54"/>
      <c r="F162" s="24"/>
    </row>
    <row r="163" spans="1:11" ht="15" customHeight="1" thickBot="1">
      <c r="A163" s="52" t="s">
        <v>125</v>
      </c>
      <c r="B163" s="27"/>
      <c r="C163" s="55">
        <f>ROUND(+J161*C112,0)</f>
        <v>48</v>
      </c>
      <c r="E163" s="54"/>
      <c r="F163" s="55">
        <f>ROUND(+J161*F112,0)</f>
        <v>2214</v>
      </c>
      <c r="H163" s="335" t="s">
        <v>124</v>
      </c>
      <c r="I163" s="336"/>
      <c r="J163" s="337"/>
      <c r="K163" s="133">
        <f>+F111+I111</f>
        <v>52</v>
      </c>
    </row>
    <row r="164" spans="1:11" ht="13.5" thickBot="1">
      <c r="A164" s="29"/>
      <c r="B164" s="28"/>
      <c r="C164" s="30"/>
      <c r="D164" s="29"/>
      <c r="E164" s="28"/>
      <c r="F164" s="30"/>
      <c r="G164" s="29"/>
      <c r="H164" s="29"/>
      <c r="I164" s="29"/>
      <c r="J164" s="29"/>
      <c r="K164" s="29"/>
    </row>
    <row r="166" spans="1:6" ht="20.25">
      <c r="A166" s="92" t="s">
        <v>246</v>
      </c>
      <c r="B166" s="2"/>
      <c r="C166" s="2"/>
      <c r="D166" s="2"/>
      <c r="E166" s="2"/>
      <c r="F166" s="2"/>
    </row>
    <row r="167" spans="2:6" ht="12.75">
      <c r="B167" s="198" t="s">
        <v>126</v>
      </c>
      <c r="C167" s="2"/>
      <c r="D167" s="2"/>
      <c r="E167" s="2"/>
      <c r="F167" s="2"/>
    </row>
    <row r="168" spans="2:6" ht="12.75" customHeight="1">
      <c r="B168" s="31" t="s">
        <v>65</v>
      </c>
      <c r="C168" s="2"/>
      <c r="D168" s="2"/>
      <c r="E168" s="2"/>
      <c r="F168" s="2"/>
    </row>
    <row r="169" spans="1:6" ht="12.75">
      <c r="A169" s="8" t="s">
        <v>8</v>
      </c>
      <c r="B169" s="31" t="s">
        <v>127</v>
      </c>
      <c r="C169" s="2"/>
      <c r="D169" s="2"/>
      <c r="E169" s="2"/>
      <c r="F169" s="31" t="s">
        <v>53</v>
      </c>
    </row>
    <row r="170" spans="1:6" ht="12.75">
      <c r="A170" s="23" t="s">
        <v>66</v>
      </c>
      <c r="B170" s="178"/>
      <c r="C170" s="2"/>
      <c r="D170" s="2"/>
      <c r="E170" s="2"/>
      <c r="F170" s="42">
        <f>+ROUNDUP(B170/60*K163,1)</f>
        <v>0</v>
      </c>
    </row>
    <row r="171" spans="1:11" ht="13.5" thickBo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3" ht="20.25">
      <c r="A173" s="68" t="s">
        <v>244</v>
      </c>
    </row>
    <row r="174" ht="6.75" customHeight="1"/>
    <row r="175" ht="18">
      <c r="A175" s="103" t="s">
        <v>221</v>
      </c>
    </row>
    <row r="176" spans="1:2" ht="12.75">
      <c r="A176" s="276" t="s">
        <v>67</v>
      </c>
      <c r="B176" s="277"/>
    </row>
    <row r="177" spans="1:10" ht="15.75" customHeight="1">
      <c r="A177" s="342" t="s">
        <v>156</v>
      </c>
      <c r="B177" s="343"/>
      <c r="C177" s="104" t="s">
        <v>72</v>
      </c>
      <c r="D177" s="49" t="s">
        <v>5</v>
      </c>
      <c r="E177" s="33" t="s">
        <v>73</v>
      </c>
      <c r="F177" s="33" t="s">
        <v>74</v>
      </c>
      <c r="G177" s="49" t="s">
        <v>75</v>
      </c>
      <c r="H177" s="49" t="s">
        <v>6</v>
      </c>
      <c r="I177" s="33" t="s">
        <v>76</v>
      </c>
      <c r="J177" s="38" t="s">
        <v>153</v>
      </c>
    </row>
    <row r="178" spans="1:10" ht="15">
      <c r="A178" s="282" t="s">
        <v>68</v>
      </c>
      <c r="B178" s="283"/>
      <c r="C178" s="105" t="s">
        <v>71</v>
      </c>
      <c r="D178" s="106">
        <f>+K34</f>
        <v>0.25</v>
      </c>
      <c r="E178" s="106">
        <f>+D52</f>
        <v>0.16666666666666666</v>
      </c>
      <c r="F178" s="106">
        <f>E41</f>
        <v>0.5</v>
      </c>
      <c r="G178" s="106">
        <f>+K58</f>
        <v>0.5666666666666667</v>
      </c>
      <c r="H178" s="107">
        <f>+B170/60</f>
        <v>0</v>
      </c>
      <c r="I178" s="107">
        <f>(+K74)/K163</f>
        <v>0.032051282051282055</v>
      </c>
      <c r="J178" s="106">
        <f>SUM(C178:I178)</f>
        <v>1.5153846153846156</v>
      </c>
    </row>
    <row r="179" spans="1:10" ht="15">
      <c r="A179" s="284" t="s">
        <v>128</v>
      </c>
      <c r="B179" s="285"/>
      <c r="C179" s="227">
        <f>+C117</f>
        <v>0.30000000000000004</v>
      </c>
      <c r="D179" s="106">
        <f>+C128</f>
        <v>2.4000000000000004</v>
      </c>
      <c r="E179" s="106">
        <f>+C154</f>
        <v>2.7</v>
      </c>
      <c r="F179" s="106">
        <f>+C141</f>
        <v>0.6</v>
      </c>
      <c r="G179" s="106">
        <f>+C161</f>
        <v>0.7999999999999999</v>
      </c>
      <c r="H179" s="108"/>
      <c r="I179" s="108"/>
      <c r="J179" s="106">
        <f>SUM(C179:I179)</f>
        <v>6.8</v>
      </c>
    </row>
    <row r="181" spans="1:2" ht="12.75">
      <c r="A181" s="109" t="s">
        <v>69</v>
      </c>
      <c r="B181" s="134"/>
    </row>
    <row r="182" spans="1:2" ht="12.75">
      <c r="A182" s="109" t="s">
        <v>70</v>
      </c>
      <c r="B182" s="134"/>
    </row>
    <row r="183" spans="1:10" ht="15">
      <c r="A183" s="299" t="s">
        <v>129</v>
      </c>
      <c r="B183" s="299"/>
      <c r="C183" s="106">
        <f>+(C117)/C192</f>
        <v>0.15000000000000002</v>
      </c>
      <c r="D183" s="106">
        <f>+(C128)/C192</f>
        <v>1.2000000000000002</v>
      </c>
      <c r="E183" s="106">
        <f>(C154)/C192</f>
        <v>1.35</v>
      </c>
      <c r="F183" s="107">
        <f>+F179</f>
        <v>0.6</v>
      </c>
      <c r="G183" s="106">
        <f>+(C161)/C192</f>
        <v>0.39999999999999997</v>
      </c>
      <c r="H183" s="108"/>
      <c r="I183" s="108"/>
      <c r="J183" s="106">
        <f>SUM(C183:H183)</f>
        <v>3.7</v>
      </c>
    </row>
    <row r="184" spans="1:10" ht="15.75">
      <c r="A184" s="110" t="s">
        <v>157</v>
      </c>
      <c r="I184" s="112" t="s">
        <v>0</v>
      </c>
      <c r="J184" s="111">
        <f>+J178+J183</f>
        <v>5.2153846153846155</v>
      </c>
    </row>
    <row r="185" spans="9:10" ht="15">
      <c r="I185" s="38"/>
      <c r="J185" s="135" t="s">
        <v>9</v>
      </c>
    </row>
    <row r="186" spans="7:10" ht="15.75">
      <c r="G186" s="9"/>
      <c r="H186" s="9"/>
      <c r="I186" s="113" t="s">
        <v>137</v>
      </c>
      <c r="J186" s="218">
        <v>0.1</v>
      </c>
    </row>
    <row r="187" spans="4:11" ht="15">
      <c r="D187" s="51"/>
      <c r="H187" s="51"/>
      <c r="I187" s="112" t="s">
        <v>130</v>
      </c>
      <c r="J187" s="219">
        <f>+J184*J186*60</f>
        <v>31.2923076923077</v>
      </c>
      <c r="K187" s="220" t="s">
        <v>14</v>
      </c>
    </row>
    <row r="188" spans="9:10" ht="15.75" thickBot="1">
      <c r="I188" s="38"/>
      <c r="J188" s="135" t="s">
        <v>10</v>
      </c>
    </row>
    <row r="189" spans="7:11" ht="18.75" thickBot="1">
      <c r="G189" s="136"/>
      <c r="H189" s="136"/>
      <c r="I189" s="125" t="s">
        <v>77</v>
      </c>
      <c r="J189" s="221">
        <f>ROUNDUP(+J187/60+J184,1)</f>
        <v>5.8</v>
      </c>
      <c r="K189" s="220" t="s">
        <v>35</v>
      </c>
    </row>
    <row r="190" spans="8:10" ht="15.75">
      <c r="H190" s="113"/>
      <c r="J190" s="135" t="s">
        <v>9</v>
      </c>
    </row>
    <row r="191" spans="9:11" ht="18.75" thickBot="1">
      <c r="I191" s="125" t="s">
        <v>178</v>
      </c>
      <c r="J191" s="222">
        <f>E20</f>
        <v>2.283333333333333</v>
      </c>
      <c r="K191" s="220" t="s">
        <v>35</v>
      </c>
    </row>
    <row r="192" spans="2:11" ht="17.25" thickBot="1" thickTop="1">
      <c r="B192" s="137" t="s">
        <v>222</v>
      </c>
      <c r="C192" s="187">
        <v>2</v>
      </c>
      <c r="J192" s="138" t="s">
        <v>10</v>
      </c>
      <c r="K192" s="40"/>
    </row>
    <row r="193" spans="2:11" ht="24" thickBot="1">
      <c r="B193" s="137" t="s">
        <v>78</v>
      </c>
      <c r="C193" s="187">
        <v>8</v>
      </c>
      <c r="D193" s="139" t="s">
        <v>15</v>
      </c>
      <c r="I193" s="125" t="s">
        <v>179</v>
      </c>
      <c r="J193" s="221">
        <f>+J191+J189</f>
        <v>8.083333333333332</v>
      </c>
      <c r="K193" s="220" t="s">
        <v>35</v>
      </c>
    </row>
    <row r="194" ht="12.75">
      <c r="J194" s="40"/>
    </row>
    <row r="195" spans="7:10" ht="18">
      <c r="G195" s="136"/>
      <c r="H195" s="9"/>
      <c r="I195" s="125" t="s">
        <v>249</v>
      </c>
      <c r="J195" s="190">
        <f>+J193/C193</f>
        <v>1.0104166666666665</v>
      </c>
    </row>
    <row r="196" spans="1:11" ht="18">
      <c r="A196" s="100"/>
      <c r="B196" s="100"/>
      <c r="C196" s="100"/>
      <c r="D196" s="100"/>
      <c r="E196" s="100"/>
      <c r="F196" s="100"/>
      <c r="G196" s="140"/>
      <c r="H196" s="141"/>
      <c r="I196" s="142"/>
      <c r="J196" s="100"/>
      <c r="K196" s="100"/>
    </row>
    <row r="197" spans="1:11" ht="18">
      <c r="A197" s="2"/>
      <c r="B197" s="2"/>
      <c r="C197" s="2"/>
      <c r="D197" s="2"/>
      <c r="E197" s="2"/>
      <c r="F197" s="2"/>
      <c r="G197" s="143"/>
      <c r="H197" s="50"/>
      <c r="I197" s="144"/>
      <c r="J197" s="2"/>
      <c r="K197" s="2"/>
    </row>
    <row r="198" ht="20.25">
      <c r="A198" s="68" t="s">
        <v>223</v>
      </c>
    </row>
    <row r="199" ht="14.25">
      <c r="A199" s="145" t="s">
        <v>79</v>
      </c>
    </row>
    <row r="200" ht="14.25">
      <c r="A200" s="145" t="s">
        <v>224</v>
      </c>
    </row>
    <row r="201" ht="6.75" customHeight="1"/>
    <row r="202" spans="1:4" ht="15">
      <c r="A202" s="77"/>
      <c r="C202" s="146" t="s">
        <v>80</v>
      </c>
      <c r="D202" s="228">
        <f>+C193</f>
        <v>8</v>
      </c>
    </row>
    <row r="203" spans="4:7" ht="10.5" customHeight="1">
      <c r="D203" s="147" t="s">
        <v>16</v>
      </c>
      <c r="F203" s="318" t="str">
        <f>+I189</f>
        <v>total time required inside the sub-level (contingency included)  </v>
      </c>
      <c r="G203" s="319"/>
    </row>
    <row r="204" spans="1:11" ht="18.75" customHeight="1" thickBot="1">
      <c r="A204" s="136"/>
      <c r="B204" s="136"/>
      <c r="C204" s="148" t="s">
        <v>131</v>
      </c>
      <c r="D204" s="229">
        <f>+J191</f>
        <v>2.283333333333333</v>
      </c>
      <c r="F204" s="320"/>
      <c r="G204" s="321"/>
      <c r="I204" s="324" t="s">
        <v>175</v>
      </c>
      <c r="J204" s="325"/>
      <c r="K204" s="326"/>
    </row>
    <row r="205" spans="4:11" ht="15.75" customHeight="1" thickTop="1">
      <c r="D205" s="147" t="s">
        <v>10</v>
      </c>
      <c r="F205" s="322"/>
      <c r="G205" s="323"/>
      <c r="I205" s="327"/>
      <c r="J205" s="328"/>
      <c r="K205" s="329"/>
    </row>
    <row r="206" spans="3:11" ht="15.75">
      <c r="C206" s="148" t="s">
        <v>132</v>
      </c>
      <c r="D206" s="230">
        <f>C193-J191</f>
        <v>5.716666666666667</v>
      </c>
      <c r="E206" s="10" t="s">
        <v>17</v>
      </c>
      <c r="F206" s="330">
        <f>+J189</f>
        <v>5.8</v>
      </c>
      <c r="G206" s="331"/>
      <c r="H206" s="147" t="s">
        <v>10</v>
      </c>
      <c r="I206" s="332">
        <f>D206/J189</f>
        <v>0.9856321839080461</v>
      </c>
      <c r="J206" s="333"/>
      <c r="K206" s="334"/>
    </row>
    <row r="207" spans="2:20" ht="32.25" customHeight="1">
      <c r="B207" s="315" t="str">
        <f>IF(I206&lt;1,"Is it possible to blast during the shift?     If no, change the parameters to obtain a round number ","Is it possible to blast during the shift?  If yes, optimize the parameters to obtain the desired results.")</f>
        <v>Is it possible to blast during the shift?     If no, change the parameters to obtain a round number </v>
      </c>
      <c r="C207" s="316"/>
      <c r="D207" s="316"/>
      <c r="E207" s="316"/>
      <c r="F207" s="316"/>
      <c r="G207" s="316"/>
      <c r="H207" s="316"/>
      <c r="I207" s="316"/>
      <c r="J207" s="316"/>
      <c r="K207" s="317"/>
      <c r="P207" s="149"/>
      <c r="Q207" s="149"/>
      <c r="R207" s="149"/>
      <c r="S207" s="149"/>
      <c r="T207" s="149"/>
    </row>
    <row r="208" spans="1:11" ht="13.5" thickBot="1">
      <c r="A208" s="150"/>
      <c r="B208" s="150"/>
      <c r="C208" s="29"/>
      <c r="D208" s="29"/>
      <c r="E208" s="29"/>
      <c r="F208" s="29"/>
      <c r="G208" s="29"/>
      <c r="H208" s="29"/>
      <c r="I208" s="29"/>
      <c r="J208" s="29"/>
      <c r="K208" s="29"/>
    </row>
    <row r="209" ht="12.75">
      <c r="I209" s="2"/>
    </row>
    <row r="210" spans="1:12" ht="20.25">
      <c r="A210" s="68" t="s">
        <v>133</v>
      </c>
      <c r="I210" s="286" t="s">
        <v>81</v>
      </c>
      <c r="J210" s="44"/>
      <c r="L210" s="44"/>
    </row>
    <row r="211" spans="1:12" ht="20.25">
      <c r="A211" s="47"/>
      <c r="I211" s="287"/>
      <c r="J211" s="44"/>
      <c r="L211" s="44"/>
    </row>
    <row r="212" spans="1:12" ht="20.25">
      <c r="A212" s="47"/>
      <c r="I212" s="287"/>
      <c r="J212" s="44"/>
      <c r="L212" s="44"/>
    </row>
    <row r="213" spans="1:12" ht="12.75">
      <c r="A213" s="295" t="s">
        <v>67</v>
      </c>
      <c r="B213" s="296"/>
      <c r="I213" s="287"/>
      <c r="J213" s="44"/>
      <c r="L213" s="44"/>
    </row>
    <row r="214" spans="1:11" ht="12.75">
      <c r="A214" s="293" t="s">
        <v>233</v>
      </c>
      <c r="B214" s="294"/>
      <c r="C214" s="49" t="s">
        <v>72</v>
      </c>
      <c r="D214" s="49" t="s">
        <v>5</v>
      </c>
      <c r="E214" s="33" t="s">
        <v>73</v>
      </c>
      <c r="F214" s="33" t="s">
        <v>74</v>
      </c>
      <c r="G214" s="49" t="s">
        <v>75</v>
      </c>
      <c r="H214" s="165" t="s">
        <v>6</v>
      </c>
      <c r="I214" s="288"/>
      <c r="J214" s="33" t="s">
        <v>76</v>
      </c>
      <c r="K214" s="38" t="s">
        <v>153</v>
      </c>
    </row>
    <row r="215" spans="1:11" ht="15">
      <c r="A215" s="282" t="s">
        <v>68</v>
      </c>
      <c r="B215" s="283"/>
      <c r="C215" s="105" t="s">
        <v>71</v>
      </c>
      <c r="D215" s="106">
        <f>+K34*K163</f>
        <v>13</v>
      </c>
      <c r="E215" s="106">
        <f>+D52*K163</f>
        <v>8.666666666666666</v>
      </c>
      <c r="F215" s="106">
        <f>E41*K163</f>
        <v>26</v>
      </c>
      <c r="G215" s="106">
        <f>(+K58-K54/60)*K163</f>
        <v>29.466666666666665</v>
      </c>
      <c r="H215" s="107">
        <f>+F170</f>
        <v>0</v>
      </c>
      <c r="I215" s="107">
        <f>+E79</f>
        <v>55</v>
      </c>
      <c r="J215" s="106">
        <f>+K74</f>
        <v>1.6666666666666667</v>
      </c>
      <c r="K215" s="106">
        <f>SUM(C215:J215)</f>
        <v>133.79999999999998</v>
      </c>
    </row>
    <row r="216" spans="1:11" ht="15">
      <c r="A216" s="284" t="s">
        <v>128</v>
      </c>
      <c r="B216" s="285"/>
      <c r="C216" s="227">
        <f>+F117</f>
        <v>13.4</v>
      </c>
      <c r="D216" s="106">
        <f>+F128+J109/C109*C128</f>
        <v>137.9294117647059</v>
      </c>
      <c r="E216" s="106">
        <f>+F154+J109/C109*C154</f>
        <v>139.97058823529412</v>
      </c>
      <c r="F216" s="107">
        <f>+F141</f>
        <v>25</v>
      </c>
      <c r="G216" s="106">
        <f>+F161+J109/C109*C161</f>
        <v>45.976470588235294</v>
      </c>
      <c r="H216" s="108"/>
      <c r="I216" s="108"/>
      <c r="J216" s="164"/>
      <c r="K216" s="106">
        <f>SUM(C216:J216)</f>
        <v>362.2764705882353</v>
      </c>
    </row>
    <row r="219" ht="12.75">
      <c r="A219" s="109" t="s">
        <v>69</v>
      </c>
    </row>
    <row r="220" ht="12.75">
      <c r="A220" s="109" t="s">
        <v>70</v>
      </c>
    </row>
    <row r="221" spans="1:11" ht="15">
      <c r="A221" s="299" t="s">
        <v>154</v>
      </c>
      <c r="B221" s="299"/>
      <c r="C221" s="227">
        <f>+(+F117)/C228</f>
        <v>6.7</v>
      </c>
      <c r="D221" s="106">
        <f>+(F128)/C228</f>
        <v>62.400000000000006</v>
      </c>
      <c r="E221" s="106">
        <f>(F154)/C228</f>
        <v>62.599999999999994</v>
      </c>
      <c r="F221" s="107">
        <f>+F216</f>
        <v>25</v>
      </c>
      <c r="G221" s="106">
        <f>+(F161)/C228</f>
        <v>20.8</v>
      </c>
      <c r="H221" s="163"/>
      <c r="I221" s="163"/>
      <c r="J221" s="164"/>
      <c r="K221" s="106">
        <f>SUM(C221:J221)</f>
        <v>177.5</v>
      </c>
    </row>
    <row r="222" spans="1:11" ht="15.75">
      <c r="A222" s="110" t="s">
        <v>157</v>
      </c>
      <c r="J222" s="112" t="s">
        <v>0</v>
      </c>
      <c r="K222" s="111">
        <f>+K215+K221</f>
        <v>311.29999999999995</v>
      </c>
    </row>
    <row r="224" ht="12.75">
      <c r="K224" s="10" t="s">
        <v>18</v>
      </c>
    </row>
    <row r="225" spans="1:12" ht="12.75">
      <c r="A225" s="2" t="s">
        <v>134</v>
      </c>
      <c r="B225" s="2"/>
      <c r="C225" s="46">
        <f>(C221)*$C$228</f>
        <v>13.4</v>
      </c>
      <c r="D225" s="46">
        <f>(D215+D221)*$C$228</f>
        <v>150.8</v>
      </c>
      <c r="E225" s="46">
        <f>(E215+E221)*$C$228</f>
        <v>142.53333333333333</v>
      </c>
      <c r="F225" s="46">
        <f>(F215+F221)*$C$228</f>
        <v>102</v>
      </c>
      <c r="G225" s="46">
        <f>(G215+G221)*$C$228</f>
        <v>100.53333333333333</v>
      </c>
      <c r="H225" s="46">
        <f>(H215)*$C$228</f>
        <v>0</v>
      </c>
      <c r="I225" s="46">
        <f>(I215+I221)*$C$228</f>
        <v>110</v>
      </c>
      <c r="J225" s="46">
        <f>(J215)*$C$228</f>
        <v>3.3333333333333335</v>
      </c>
      <c r="K225" s="48">
        <f>SUM(C225:J225)</f>
        <v>622.6</v>
      </c>
      <c r="L225" s="40"/>
    </row>
    <row r="226" spans="1:12" ht="15.75">
      <c r="A226" s="2" t="s">
        <v>135</v>
      </c>
      <c r="B226" s="2"/>
      <c r="C226" s="46">
        <f aca="true" t="shared" si="5" ref="C226:J226">+C225/$C$229</f>
        <v>1.675</v>
      </c>
      <c r="D226" s="46">
        <f t="shared" si="5"/>
        <v>18.85</v>
      </c>
      <c r="E226" s="46">
        <f t="shared" si="5"/>
        <v>17.816666666666666</v>
      </c>
      <c r="F226" s="46">
        <f t="shared" si="5"/>
        <v>12.75</v>
      </c>
      <c r="G226" s="46">
        <f t="shared" si="5"/>
        <v>12.566666666666666</v>
      </c>
      <c r="H226" s="46">
        <f t="shared" si="5"/>
        <v>0</v>
      </c>
      <c r="I226" s="46">
        <f t="shared" si="5"/>
        <v>13.75</v>
      </c>
      <c r="J226" s="46">
        <f t="shared" si="5"/>
        <v>0.4166666666666667</v>
      </c>
      <c r="K226" s="114">
        <f>SUM(C226:J226)</f>
        <v>77.825</v>
      </c>
      <c r="L226" s="40"/>
    </row>
    <row r="227" ht="12.75">
      <c r="K227" s="10" t="s">
        <v>11</v>
      </c>
    </row>
    <row r="228" spans="1:11" ht="15.75">
      <c r="A228" s="202" t="s">
        <v>136</v>
      </c>
      <c r="C228" s="3">
        <f>+C192</f>
        <v>2</v>
      </c>
      <c r="G228" s="112" t="s">
        <v>82</v>
      </c>
      <c r="H228" s="151">
        <f>+J186</f>
        <v>0.1</v>
      </c>
      <c r="J228" s="112" t="s">
        <v>225</v>
      </c>
      <c r="K228" s="114">
        <f>+K226*H228</f>
        <v>7.782500000000001</v>
      </c>
    </row>
    <row r="229" spans="1:11" ht="12.75">
      <c r="A229" s="202" t="s">
        <v>78</v>
      </c>
      <c r="B229" s="2"/>
      <c r="C229" s="3">
        <f>+C193</f>
        <v>8</v>
      </c>
      <c r="D229" t="s">
        <v>35</v>
      </c>
      <c r="K229" s="10" t="s">
        <v>10</v>
      </c>
    </row>
    <row r="230" spans="10:11" ht="15.75">
      <c r="J230" s="113" t="s">
        <v>226</v>
      </c>
      <c r="K230" s="114">
        <f>+K228+K226</f>
        <v>85.6075</v>
      </c>
    </row>
    <row r="231" ht="12.75">
      <c r="K231" s="10" t="s">
        <v>11</v>
      </c>
    </row>
    <row r="232" spans="10:11" ht="15.75">
      <c r="J232" s="113" t="s">
        <v>158</v>
      </c>
      <c r="K232" s="114">
        <f>+K230*C229/(C229-J191)*J191/C229</f>
        <v>34.193083090379005</v>
      </c>
    </row>
    <row r="233" ht="12.75">
      <c r="K233" s="10" t="s">
        <v>12</v>
      </c>
    </row>
    <row r="234" spans="10:11" ht="15.75">
      <c r="J234" s="113" t="s">
        <v>83</v>
      </c>
      <c r="K234" s="114">
        <f>+K232+K230</f>
        <v>119.800583090379</v>
      </c>
    </row>
    <row r="235" spans="8:11" ht="16.5" thickBot="1">
      <c r="H235" s="198"/>
      <c r="I235" s="112" t="s">
        <v>84</v>
      </c>
      <c r="J235" s="114">
        <f>+I206</f>
        <v>0.9856321839080461</v>
      </c>
      <c r="K235" s="198" t="s">
        <v>182</v>
      </c>
    </row>
    <row r="236" spans="5:7" ht="15.75">
      <c r="E236" s="113" t="s">
        <v>138</v>
      </c>
      <c r="F236" s="188">
        <v>0.94</v>
      </c>
      <c r="G236" s="152" t="s">
        <v>182</v>
      </c>
    </row>
    <row r="237" spans="5:6" ht="15.75">
      <c r="E237" s="113" t="s">
        <v>236</v>
      </c>
      <c r="F237" s="214">
        <f>F236/I206</f>
        <v>0.9537026239067053</v>
      </c>
    </row>
    <row r="239" ht="12.75" customHeight="1" thickBot="1">
      <c r="C239" s="115">
        <f>IF(F237&gt;1," Vous ne pouvez pas entrer un nombre d'avance supérieur  au nombre possible calculé ci-haut","")</f>
      </c>
    </row>
    <row r="240" spans="2:7" ht="23.25" customHeight="1" thickBot="1" thickTop="1">
      <c r="B240" s="300" t="s">
        <v>88</v>
      </c>
      <c r="C240" s="301"/>
      <c r="D240" s="301"/>
      <c r="E240" s="301"/>
      <c r="F240" s="301"/>
      <c r="G240" s="302"/>
    </row>
    <row r="241" spans="2:11" ht="18" customHeight="1" thickBot="1">
      <c r="B241" s="303" t="s">
        <v>87</v>
      </c>
      <c r="C241" s="304"/>
      <c r="D241" s="304"/>
      <c r="E241" s="305"/>
      <c r="F241" s="201" t="s">
        <v>139</v>
      </c>
      <c r="G241" s="306" t="s">
        <v>13</v>
      </c>
      <c r="J241" s="116">
        <f>F112+I112</f>
        <v>1280</v>
      </c>
      <c r="K241" t="s">
        <v>2</v>
      </c>
    </row>
    <row r="242" spans="2:7" ht="17.25" customHeight="1" thickBot="1">
      <c r="B242" s="117" t="s">
        <v>90</v>
      </c>
      <c r="C242" s="66" t="s">
        <v>91</v>
      </c>
      <c r="D242" s="308" t="s">
        <v>237</v>
      </c>
      <c r="E242" s="309"/>
      <c r="F242" s="118" t="s">
        <v>89</v>
      </c>
      <c r="G242" s="307"/>
    </row>
    <row r="243" spans="2:11" ht="25.5" customHeight="1" thickBot="1">
      <c r="B243" s="153">
        <f>+D243/(1+J186)</f>
        <v>82.85863958736299</v>
      </c>
      <c r="C243" s="154">
        <f>+D243-B243</f>
        <v>8.2858639587363</v>
      </c>
      <c r="D243" s="289">
        <f>+G243-F243</f>
        <v>91.14450354609929</v>
      </c>
      <c r="E243" s="290"/>
      <c r="F243" s="155">
        <f>+G243*D204/D202</f>
        <v>36.40465593532246</v>
      </c>
      <c r="G243" s="156">
        <f>((F111+I111-2)/F236+((I215)*(1+J186)/D206))*C192</f>
        <v>127.54915948142175</v>
      </c>
      <c r="H243" s="291" t="s">
        <v>86</v>
      </c>
      <c r="I243" s="292"/>
      <c r="J243" s="157">
        <f>+J241/G243</f>
        <v>10.035346412348872</v>
      </c>
      <c r="K243" t="s">
        <v>85</v>
      </c>
    </row>
    <row r="244" spans="2:7" ht="14.25" thickBot="1" thickTop="1">
      <c r="B244" s="119">
        <f>+B243/$G$243</f>
        <v>0.649621212121212</v>
      </c>
      <c r="C244" s="213">
        <f>+C243/$G$243</f>
        <v>0.06496212121212122</v>
      </c>
      <c r="D244" s="297">
        <f>+D243/$G$243</f>
        <v>0.7145833333333332</v>
      </c>
      <c r="E244" s="298"/>
      <c r="F244" s="158">
        <f>+F243/$G$243</f>
        <v>0.28541666666666665</v>
      </c>
      <c r="G244" s="120">
        <f>+F244+D244</f>
        <v>0.9999999999999999</v>
      </c>
    </row>
    <row r="245" spans="1:11" ht="16.5" thickBot="1">
      <c r="A245" s="9"/>
      <c r="B245" s="9"/>
      <c r="I245" s="2"/>
      <c r="J245" s="200">
        <f>+J243/J241*(F108+I108)</f>
        <v>0.6742498370796898</v>
      </c>
      <c r="K245" t="s">
        <v>140</v>
      </c>
    </row>
    <row r="249" spans="1:8" ht="14.25">
      <c r="A249" s="159" t="s">
        <v>171</v>
      </c>
      <c r="D249" s="203" t="s">
        <v>173</v>
      </c>
      <c r="H249" s="159" t="s">
        <v>96</v>
      </c>
    </row>
    <row r="250" spans="1:10" ht="12.75">
      <c r="A250" s="2" t="s">
        <v>163</v>
      </c>
      <c r="B250" s="48">
        <f>+K225</f>
        <v>622.6</v>
      </c>
      <c r="D250" s="2"/>
      <c r="E250" s="160" t="s">
        <v>167</v>
      </c>
      <c r="F250" s="48">
        <f>+B258</f>
        <v>85.6075</v>
      </c>
      <c r="I250" s="38" t="str">
        <f>+E258</f>
        <v>Number of required shifts (schedule)</v>
      </c>
      <c r="J250" s="48">
        <f>+F258</f>
        <v>59.9002915451895</v>
      </c>
    </row>
    <row r="251" spans="1:10" ht="12.75">
      <c r="A251" s="2"/>
      <c r="B251" s="10" t="s">
        <v>17</v>
      </c>
      <c r="E251" s="2"/>
      <c r="F251" s="10" t="s">
        <v>17</v>
      </c>
      <c r="J251" s="10" t="s">
        <v>19</v>
      </c>
    </row>
    <row r="252" spans="1:10" ht="12.75">
      <c r="A252" s="2" t="s">
        <v>92</v>
      </c>
      <c r="B252" s="161">
        <f>+C229</f>
        <v>8</v>
      </c>
      <c r="E252" s="160" t="s">
        <v>174</v>
      </c>
      <c r="F252" s="46">
        <f>+D206</f>
        <v>5.716666666666667</v>
      </c>
      <c r="I252" s="38" t="s">
        <v>169</v>
      </c>
      <c r="J252" s="161">
        <f>+J191</f>
        <v>2.283333333333333</v>
      </c>
    </row>
    <row r="253" spans="1:10" ht="12.75">
      <c r="A253" s="2"/>
      <c r="B253" s="10" t="s">
        <v>12</v>
      </c>
      <c r="E253" s="2"/>
      <c r="F253" s="10" t="s">
        <v>19</v>
      </c>
      <c r="J253" s="10" t="s">
        <v>17</v>
      </c>
    </row>
    <row r="254" spans="1:10" ht="12.75">
      <c r="A254" s="2" t="s">
        <v>164</v>
      </c>
      <c r="B254" s="48">
        <f>+B250/B252</f>
        <v>77.825</v>
      </c>
      <c r="E254" s="2" t="s">
        <v>92</v>
      </c>
      <c r="F254" s="161">
        <f>+B252</f>
        <v>8</v>
      </c>
      <c r="I254" s="199" t="str">
        <f>+A252</f>
        <v>Hours/shift</v>
      </c>
      <c r="J254" s="161">
        <f>+B252</f>
        <v>8</v>
      </c>
    </row>
    <row r="255" spans="1:10" ht="12.75">
      <c r="A255" s="2"/>
      <c r="B255" s="10" t="s">
        <v>9</v>
      </c>
      <c r="E255" s="2"/>
      <c r="F255" s="10" t="s">
        <v>17</v>
      </c>
      <c r="J255" s="10" t="s">
        <v>10</v>
      </c>
    </row>
    <row r="256" spans="1:10" ht="12.75">
      <c r="A256" s="2" t="s">
        <v>93</v>
      </c>
      <c r="B256" s="151">
        <f>+J186</f>
        <v>0.1</v>
      </c>
      <c r="E256" s="2" t="s">
        <v>95</v>
      </c>
      <c r="F256" s="3">
        <f>+C228</f>
        <v>2</v>
      </c>
      <c r="I256" s="38" t="s">
        <v>170</v>
      </c>
      <c r="J256" s="41">
        <f>+J250*J252/J254</f>
        <v>17.096541545189503</v>
      </c>
    </row>
    <row r="257" spans="1:6" ht="12.75">
      <c r="A257" s="2"/>
      <c r="B257" s="10" t="s">
        <v>10</v>
      </c>
      <c r="F257" s="10" t="s">
        <v>10</v>
      </c>
    </row>
    <row r="258" spans="1:6" ht="12.75">
      <c r="A258" s="2" t="s">
        <v>164</v>
      </c>
      <c r="B258" s="48">
        <f>+B256*B254+B254</f>
        <v>85.6075</v>
      </c>
      <c r="E258" s="38" t="s">
        <v>168</v>
      </c>
      <c r="F258" s="48">
        <f>+F250/F252*F254/F256</f>
        <v>59.9002915451895</v>
      </c>
    </row>
    <row r="259" ht="12.75">
      <c r="A259" t="s">
        <v>94</v>
      </c>
    </row>
    <row r="261" ht="14.25">
      <c r="A261" s="159" t="s">
        <v>172</v>
      </c>
    </row>
    <row r="262" spans="2:3" ht="12.75">
      <c r="B262" s="38" t="s">
        <v>165</v>
      </c>
      <c r="C262" s="162">
        <f>+F258</f>
        <v>59.9002915451895</v>
      </c>
    </row>
    <row r="263" ht="12.75">
      <c r="C263" s="10" t="s">
        <v>19</v>
      </c>
    </row>
    <row r="264" spans="2:3" ht="12.75">
      <c r="B264" t="s">
        <v>95</v>
      </c>
      <c r="C264" s="3">
        <f>+F256</f>
        <v>2</v>
      </c>
    </row>
    <row r="265" ht="12.75">
      <c r="C265" s="10" t="s">
        <v>10</v>
      </c>
    </row>
    <row r="266" spans="2:3" ht="12.75">
      <c r="B266" s="38" t="s">
        <v>166</v>
      </c>
      <c r="C266" s="48">
        <f>+C264*C262</f>
        <v>119.800583090379</v>
      </c>
    </row>
    <row r="267" spans="2:4" ht="12.75">
      <c r="B267" s="38" t="s">
        <v>227</v>
      </c>
      <c r="C267" s="48">
        <f>+I206</f>
        <v>0.9856321839080461</v>
      </c>
      <c r="D267" t="s">
        <v>182</v>
      </c>
    </row>
  </sheetData>
  <mergeCells count="107">
    <mergeCell ref="J111:K111"/>
    <mergeCell ref="G126:J126"/>
    <mergeCell ref="G127:J127"/>
    <mergeCell ref="G120:K120"/>
    <mergeCell ref="K122:K123"/>
    <mergeCell ref="E105:F105"/>
    <mergeCell ref="B106:C106"/>
    <mergeCell ref="E106:F106"/>
    <mergeCell ref="J110:K110"/>
    <mergeCell ref="J109:K109"/>
    <mergeCell ref="H105:I105"/>
    <mergeCell ref="H106:I106"/>
    <mergeCell ref="H107:I107"/>
    <mergeCell ref="J108:K108"/>
    <mergeCell ref="A77:B77"/>
    <mergeCell ref="B124:B125"/>
    <mergeCell ref="B105:C105"/>
    <mergeCell ref="A116:A117"/>
    <mergeCell ref="G133:H133"/>
    <mergeCell ref="A183:B183"/>
    <mergeCell ref="A177:B177"/>
    <mergeCell ref="F115:F116"/>
    <mergeCell ref="G134:H134"/>
    <mergeCell ref="G135:H135"/>
    <mergeCell ref="G122:J123"/>
    <mergeCell ref="G130:H130"/>
    <mergeCell ref="I130:I132"/>
    <mergeCell ref="J130:J132"/>
    <mergeCell ref="B207:K207"/>
    <mergeCell ref="F203:G205"/>
    <mergeCell ref="I204:K205"/>
    <mergeCell ref="G144:K144"/>
    <mergeCell ref="F206:G206"/>
    <mergeCell ref="I206:K206"/>
    <mergeCell ref="H163:J163"/>
    <mergeCell ref="A179:B179"/>
    <mergeCell ref="A178:B178"/>
    <mergeCell ref="F159:F160"/>
    <mergeCell ref="G129:K129"/>
    <mergeCell ref="K126:K127"/>
    <mergeCell ref="G132:H132"/>
    <mergeCell ref="K130:K132"/>
    <mergeCell ref="D244:E244"/>
    <mergeCell ref="A221:B221"/>
    <mergeCell ref="B240:G240"/>
    <mergeCell ref="B241:E241"/>
    <mergeCell ref="G241:G242"/>
    <mergeCell ref="D242:E242"/>
    <mergeCell ref="A215:B215"/>
    <mergeCell ref="A216:B216"/>
    <mergeCell ref="I210:I214"/>
    <mergeCell ref="D243:E243"/>
    <mergeCell ref="H243:I243"/>
    <mergeCell ref="A214:B214"/>
    <mergeCell ref="A213:B213"/>
    <mergeCell ref="G161:H161"/>
    <mergeCell ref="A176:B176"/>
    <mergeCell ref="J161:K161"/>
    <mergeCell ref="J158:K160"/>
    <mergeCell ref="G157:K157"/>
    <mergeCell ref="G146:J147"/>
    <mergeCell ref="K146:K147"/>
    <mergeCell ref="K150:K151"/>
    <mergeCell ref="G150:J150"/>
    <mergeCell ref="G151:J151"/>
    <mergeCell ref="G67:H67"/>
    <mergeCell ref="I65:I66"/>
    <mergeCell ref="J65:J66"/>
    <mergeCell ref="K65:K66"/>
    <mergeCell ref="G68:H68"/>
    <mergeCell ref="G69:H69"/>
    <mergeCell ref="G72:H72"/>
    <mergeCell ref="G71:H71"/>
    <mergeCell ref="G70:H70"/>
    <mergeCell ref="E65:E66"/>
    <mergeCell ref="H8:K9"/>
    <mergeCell ref="I27:I28"/>
    <mergeCell ref="J27:J28"/>
    <mergeCell ref="K27:K28"/>
    <mergeCell ref="I44:I45"/>
    <mergeCell ref="J44:J45"/>
    <mergeCell ref="K44:K45"/>
    <mergeCell ref="C27:C28"/>
    <mergeCell ref="C8:C9"/>
    <mergeCell ref="D8:D9"/>
    <mergeCell ref="E8:E9"/>
    <mergeCell ref="D27:D28"/>
    <mergeCell ref="E27:E28"/>
    <mergeCell ref="D44:D45"/>
    <mergeCell ref="C65:C66"/>
    <mergeCell ref="B159:B160"/>
    <mergeCell ref="B146:C146"/>
    <mergeCell ref="B145:C145"/>
    <mergeCell ref="A69:B69"/>
    <mergeCell ref="A73:B73"/>
    <mergeCell ref="A74:B74"/>
    <mergeCell ref="A76:B76"/>
    <mergeCell ref="D65:D66"/>
    <mergeCell ref="A66:B66"/>
    <mergeCell ref="A68:B68"/>
    <mergeCell ref="B44:B45"/>
    <mergeCell ref="C44:C45"/>
    <mergeCell ref="A75:B75"/>
    <mergeCell ref="A67:B67"/>
    <mergeCell ref="A71:B71"/>
    <mergeCell ref="A72:B72"/>
    <mergeCell ref="A70:B70"/>
  </mergeCells>
  <printOptions/>
  <pageMargins left="0.75" right="0.75" top="1" bottom="1" header="0.4921259845" footer="0.4921259845"/>
  <pageSetup cellComments="asDisplayed" horizontalDpi="600" verticalDpi="600" orientation="landscape" scale="67" r:id="rId4"/>
  <headerFooter alignWithMargins="0">
    <oddFooter>&amp;LFile:  &amp;F
Sheet:  &amp;A
Page &amp;P of &amp;N&amp;CExperimental Mine
Val-d'Or&amp;R&amp;D
&amp;T</oddFooter>
  </headerFooter>
  <rowBreaks count="4" manualBreakCount="4">
    <brk id="42" max="10" man="1"/>
    <brk id="100" max="10" man="1"/>
    <brk id="137" max="10" man="1"/>
    <brk id="171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75" zoomScaleNormal="75" workbookViewId="0" topLeftCell="A37">
      <selection activeCell="D41" sqref="D41"/>
    </sheetView>
  </sheetViews>
  <sheetFormatPr defaultColWidth="9.140625" defaultRowHeight="12.75"/>
  <cols>
    <col min="1" max="1" width="15.8515625" style="0" customWidth="1"/>
    <col min="2" max="2" width="11.421875" style="0" customWidth="1"/>
    <col min="3" max="3" width="12.421875" style="0" customWidth="1"/>
    <col min="4" max="4" width="13.8515625" style="0" customWidth="1"/>
    <col min="5" max="5" width="11.421875" style="0" customWidth="1"/>
    <col min="6" max="6" width="9.8515625" style="0" customWidth="1"/>
    <col min="7" max="7" width="9.28125" style="0" customWidth="1"/>
    <col min="8" max="8" width="13.57421875" style="0" customWidth="1"/>
    <col min="9" max="9" width="11.421875" style="0" customWidth="1"/>
    <col min="10" max="10" width="12.57421875" style="0" customWidth="1"/>
    <col min="11" max="11" width="13.57421875" style="0" customWidth="1"/>
    <col min="12" max="12" width="16.140625" style="0" customWidth="1"/>
    <col min="13" max="16384" width="11.421875" style="0" customWidth="1"/>
  </cols>
  <sheetData>
    <row r="1" ht="15.75" thickBot="1">
      <c r="J1" s="166" t="s">
        <v>187</v>
      </c>
    </row>
    <row r="2" ht="37.5" thickTop="1">
      <c r="A2" s="5" t="s">
        <v>74</v>
      </c>
    </row>
    <row r="3" spans="1:6" ht="12.75">
      <c r="A3" s="376" t="s">
        <v>142</v>
      </c>
      <c r="B3" s="376"/>
      <c r="C3" s="376"/>
      <c r="D3" s="225" t="s">
        <v>214</v>
      </c>
      <c r="E3" s="377" t="s">
        <v>97</v>
      </c>
      <c r="F3" s="378"/>
    </row>
    <row r="4" spans="1:11" ht="18" customHeight="1" thickBot="1">
      <c r="A4" s="376"/>
      <c r="B4" s="376"/>
      <c r="C4" s="376"/>
      <c r="D4" s="207">
        <v>46</v>
      </c>
      <c r="E4" s="379" t="s">
        <v>98</v>
      </c>
      <c r="F4" s="380"/>
      <c r="H4" s="381" t="s">
        <v>229</v>
      </c>
      <c r="I4" s="381"/>
      <c r="J4" s="381"/>
      <c r="K4" s="381"/>
    </row>
    <row r="5" spans="8:12" ht="12.75">
      <c r="H5" s="33" t="s">
        <v>4</v>
      </c>
      <c r="I5" s="33" t="s">
        <v>62</v>
      </c>
      <c r="J5" s="33" t="s">
        <v>99</v>
      </c>
      <c r="K5" s="33" t="s">
        <v>100</v>
      </c>
      <c r="L5" s="33" t="s">
        <v>230</v>
      </c>
    </row>
    <row r="6" spans="6:12" ht="41.25" customHeight="1">
      <c r="F6" s="382" t="str">
        <f>+A12</f>
        <v>HOIST         18.5 HP    @ 90psi                       (Ingersoll-Rand)</v>
      </c>
      <c r="G6" s="382"/>
      <c r="H6" s="205">
        <v>20</v>
      </c>
      <c r="I6" s="34">
        <f>+B27</f>
        <v>49</v>
      </c>
      <c r="J6" s="42">
        <f>+C27</f>
        <v>23.13706096532902</v>
      </c>
      <c r="K6" s="206">
        <v>0.95</v>
      </c>
      <c r="L6" s="34">
        <f>+K6*I6</f>
        <v>46.55</v>
      </c>
    </row>
    <row r="7" spans="6:12" ht="24.75" customHeight="1">
      <c r="F7" s="383" t="str">
        <f>+A31</f>
        <v>CAVO 310</v>
      </c>
      <c r="G7" s="383"/>
      <c r="H7" s="205">
        <v>50</v>
      </c>
      <c r="I7" s="34">
        <f>+B39</f>
        <v>36</v>
      </c>
      <c r="J7" s="42">
        <f>+C39</f>
        <v>16.65285164821261</v>
      </c>
      <c r="K7" s="206">
        <v>0.9</v>
      </c>
      <c r="L7" s="34">
        <f>+K7*I7</f>
        <v>32.4</v>
      </c>
    </row>
    <row r="8" spans="6:12" ht="25.5" customHeight="1">
      <c r="F8" s="382" t="str">
        <f>+A46</f>
        <v>ELECTRIC SCOOP     EJC 60E</v>
      </c>
      <c r="G8" s="382"/>
      <c r="H8" s="205">
        <v>80</v>
      </c>
      <c r="I8" s="34">
        <f>+B57</f>
        <v>39</v>
      </c>
      <c r="J8" s="42">
        <f>+C57</f>
        <v>18.099727054033</v>
      </c>
      <c r="K8" s="206">
        <v>0.85</v>
      </c>
      <c r="L8" s="34">
        <f>+K8*I8</f>
        <v>33.15</v>
      </c>
    </row>
    <row r="9" spans="1:12" ht="25.5" customHeight="1">
      <c r="A9" s="57" t="s">
        <v>144</v>
      </c>
      <c r="B9" s="204">
        <f>2.95/1.38</f>
        <v>2.13768115942029</v>
      </c>
      <c r="F9" s="382" t="str">
        <f>+A62</f>
        <v>YOUR EQUIPMENT</v>
      </c>
      <c r="G9" s="382"/>
      <c r="H9" s="205">
        <v>100</v>
      </c>
      <c r="I9" s="34">
        <f>+B73</f>
        <v>38</v>
      </c>
      <c r="J9" s="42">
        <f>+C73</f>
        <v>17.785862580528793</v>
      </c>
      <c r="K9" s="206">
        <v>0.85</v>
      </c>
      <c r="L9" s="34">
        <f>+K9*I9</f>
        <v>32.3</v>
      </c>
    </row>
    <row r="10" ht="13.5" thickBot="1"/>
    <row r="11" spans="1:10" ht="12.75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15.75">
      <c r="A12" s="36" t="s">
        <v>145</v>
      </c>
      <c r="B12" s="22"/>
      <c r="C12" s="17"/>
      <c r="D12" s="17"/>
      <c r="E12" s="18"/>
      <c r="F12" s="2"/>
      <c r="G12" s="2"/>
      <c r="H12" s="2"/>
      <c r="I12" s="2"/>
      <c r="J12" s="24"/>
    </row>
    <row r="13" spans="1:10" ht="12.75">
      <c r="A13" s="25" t="s">
        <v>4</v>
      </c>
      <c r="B13" s="1" t="s">
        <v>62</v>
      </c>
      <c r="C13" s="1" t="s">
        <v>99</v>
      </c>
      <c r="D13" s="1" t="s">
        <v>159</v>
      </c>
      <c r="E13" s="1" t="s">
        <v>101</v>
      </c>
      <c r="F13" s="2"/>
      <c r="G13" s="2"/>
      <c r="H13" s="2"/>
      <c r="I13" s="2"/>
      <c r="J13" s="24"/>
    </row>
    <row r="14" spans="1:10" ht="12.75">
      <c r="A14" s="26">
        <f>+D14/3.28</f>
        <v>12.195121951219512</v>
      </c>
      <c r="B14" s="11">
        <f>+E14/1.1023</f>
        <v>68.94674770933503</v>
      </c>
      <c r="C14" s="1">
        <f>ROUND(B14/$B$9,0)</f>
        <v>32</v>
      </c>
      <c r="D14" s="12">
        <v>40</v>
      </c>
      <c r="E14" s="13">
        <v>76</v>
      </c>
      <c r="F14" s="2"/>
      <c r="G14" s="2"/>
      <c r="H14" s="2"/>
      <c r="I14" s="2"/>
      <c r="J14" s="24"/>
    </row>
    <row r="15" spans="1:10" ht="12.75">
      <c r="A15" s="26">
        <f aca="true" t="shared" si="0" ref="A15:A25">+D15/3.28</f>
        <v>18.29268292682927</v>
      </c>
      <c r="B15" s="11">
        <f aca="true" t="shared" si="1" ref="B15:B25">+E15/1.1023</f>
        <v>53.52444887961535</v>
      </c>
      <c r="C15" s="1">
        <f aca="true" t="shared" si="2" ref="C15:C25">ROUND(B15/$B$9,0)</f>
        <v>25</v>
      </c>
      <c r="D15" s="14">
        <v>60</v>
      </c>
      <c r="E15" s="15">
        <v>59</v>
      </c>
      <c r="F15" s="2"/>
      <c r="G15" s="2"/>
      <c r="H15" s="2"/>
      <c r="I15" s="2"/>
      <c r="J15" s="24"/>
    </row>
    <row r="16" spans="1:10" ht="12.75">
      <c r="A16" s="26">
        <f t="shared" si="0"/>
        <v>24.390243902439025</v>
      </c>
      <c r="B16" s="11">
        <f t="shared" si="1"/>
        <v>42.63812029393087</v>
      </c>
      <c r="C16" s="1">
        <f t="shared" si="2"/>
        <v>20</v>
      </c>
      <c r="D16" s="14">
        <v>80</v>
      </c>
      <c r="E16" s="15">
        <v>47</v>
      </c>
      <c r="F16" s="2"/>
      <c r="G16" s="2"/>
      <c r="H16" s="2"/>
      <c r="I16" s="2"/>
      <c r="J16" s="24"/>
    </row>
    <row r="17" spans="1:10" ht="12.75">
      <c r="A17" s="26">
        <f t="shared" si="0"/>
        <v>30.48780487804878</v>
      </c>
      <c r="B17" s="11">
        <f t="shared" si="1"/>
        <v>36.28776195228159</v>
      </c>
      <c r="C17" s="1">
        <f t="shared" si="2"/>
        <v>17</v>
      </c>
      <c r="D17" s="14">
        <v>100</v>
      </c>
      <c r="E17" s="15">
        <v>40</v>
      </c>
      <c r="F17" s="2"/>
      <c r="G17" s="2"/>
      <c r="H17" s="2"/>
      <c r="I17" s="2"/>
      <c r="J17" s="24"/>
    </row>
    <row r="18" spans="1:10" ht="12.75">
      <c r="A18" s="26">
        <f t="shared" si="0"/>
        <v>36.58536585365854</v>
      </c>
      <c r="B18" s="11">
        <f t="shared" si="1"/>
        <v>30.84459765943935</v>
      </c>
      <c r="C18" s="1">
        <f t="shared" si="2"/>
        <v>14</v>
      </c>
      <c r="D18" s="14">
        <v>120</v>
      </c>
      <c r="E18" s="15">
        <v>34</v>
      </c>
      <c r="F18" s="2"/>
      <c r="G18" s="2"/>
      <c r="H18" s="2"/>
      <c r="I18" s="2"/>
      <c r="J18" s="24"/>
    </row>
    <row r="19" spans="1:10" ht="12.75">
      <c r="A19" s="26">
        <f t="shared" si="0"/>
        <v>42.6829268292683</v>
      </c>
      <c r="B19" s="11">
        <f t="shared" si="1"/>
        <v>27.215821464211192</v>
      </c>
      <c r="C19" s="1">
        <f t="shared" si="2"/>
        <v>13</v>
      </c>
      <c r="D19" s="14">
        <v>140</v>
      </c>
      <c r="E19" s="15">
        <v>30</v>
      </c>
      <c r="F19" s="2"/>
      <c r="G19" s="2"/>
      <c r="H19" s="2"/>
      <c r="I19" s="2"/>
      <c r="J19" s="24"/>
    </row>
    <row r="20" spans="1:10" ht="12.75">
      <c r="A20" s="26">
        <f t="shared" si="0"/>
        <v>48.78048780487805</v>
      </c>
      <c r="B20" s="11">
        <f t="shared" si="1"/>
        <v>25.401433366597114</v>
      </c>
      <c r="C20" s="1">
        <f t="shared" si="2"/>
        <v>12</v>
      </c>
      <c r="D20" s="14">
        <v>160</v>
      </c>
      <c r="E20" s="15">
        <v>28</v>
      </c>
      <c r="F20" s="2"/>
      <c r="G20" s="2"/>
      <c r="H20" s="2"/>
      <c r="I20" s="2"/>
      <c r="J20" s="24"/>
    </row>
    <row r="21" spans="1:10" ht="12.75">
      <c r="A21" s="26">
        <f t="shared" si="0"/>
        <v>54.87804878048781</v>
      </c>
      <c r="B21" s="11">
        <f t="shared" si="1"/>
        <v>23.587045268983033</v>
      </c>
      <c r="C21" s="1">
        <f t="shared" si="2"/>
        <v>11</v>
      </c>
      <c r="D21" s="14">
        <v>180</v>
      </c>
      <c r="E21" s="15">
        <v>26</v>
      </c>
      <c r="F21" s="2"/>
      <c r="G21" s="2"/>
      <c r="H21" s="2"/>
      <c r="I21" s="2"/>
      <c r="J21" s="24"/>
    </row>
    <row r="22" spans="1:10" ht="12.75">
      <c r="A22" s="26">
        <f t="shared" si="0"/>
        <v>60.97560975609756</v>
      </c>
      <c r="B22" s="11">
        <f t="shared" si="1"/>
        <v>19.051075024947835</v>
      </c>
      <c r="C22" s="1">
        <f t="shared" si="2"/>
        <v>9</v>
      </c>
      <c r="D22" s="14">
        <v>200</v>
      </c>
      <c r="E22" s="15">
        <v>21</v>
      </c>
      <c r="F22" s="2"/>
      <c r="G22" s="2"/>
      <c r="H22" s="2"/>
      <c r="I22" s="2"/>
      <c r="J22" s="24"/>
    </row>
    <row r="23" spans="1:10" ht="12.75">
      <c r="A23" s="26">
        <f t="shared" si="0"/>
        <v>67.07317073170732</v>
      </c>
      <c r="B23" s="11">
        <f t="shared" si="1"/>
        <v>18.143880976140796</v>
      </c>
      <c r="C23" s="1">
        <f t="shared" si="2"/>
        <v>8</v>
      </c>
      <c r="D23" s="14">
        <v>220</v>
      </c>
      <c r="E23" s="15">
        <v>20</v>
      </c>
      <c r="F23" s="2"/>
      <c r="G23" s="2"/>
      <c r="H23" s="2"/>
      <c r="I23" s="2"/>
      <c r="J23" s="24"/>
    </row>
    <row r="24" spans="1:10" ht="12.75">
      <c r="A24" s="26">
        <f t="shared" si="0"/>
        <v>73.17073170731707</v>
      </c>
      <c r="B24" s="11">
        <f t="shared" si="1"/>
        <v>16.329492878526715</v>
      </c>
      <c r="C24" s="1">
        <f t="shared" si="2"/>
        <v>8</v>
      </c>
      <c r="D24" s="14">
        <v>240</v>
      </c>
      <c r="E24" s="15">
        <v>18</v>
      </c>
      <c r="F24" s="2"/>
      <c r="G24" s="2"/>
      <c r="H24" s="2"/>
      <c r="I24" s="2"/>
      <c r="J24" s="24"/>
    </row>
    <row r="25" spans="1:10" ht="12.75">
      <c r="A25" s="26">
        <f t="shared" si="0"/>
        <v>91.46341463414635</v>
      </c>
      <c r="B25" s="11">
        <f t="shared" si="1"/>
        <v>12.700716683298557</v>
      </c>
      <c r="C25" s="1">
        <f t="shared" si="2"/>
        <v>6</v>
      </c>
      <c r="D25" s="16">
        <v>300</v>
      </c>
      <c r="E25" s="4">
        <v>14</v>
      </c>
      <c r="F25" s="2"/>
      <c r="G25" s="2"/>
      <c r="H25" s="2"/>
      <c r="I25" s="2"/>
      <c r="J25" s="24"/>
    </row>
    <row r="26" spans="1:10" ht="12.75">
      <c r="A26" s="27" t="s">
        <v>102</v>
      </c>
      <c r="B26" s="2"/>
      <c r="C26" s="2"/>
      <c r="D26" s="2"/>
      <c r="E26" s="2"/>
      <c r="F26" s="2"/>
      <c r="G26" s="2"/>
      <c r="H26" s="2"/>
      <c r="I26" s="2"/>
      <c r="J26" s="24"/>
    </row>
    <row r="27" spans="1:10" ht="12.75">
      <c r="A27" s="37">
        <f>+H6</f>
        <v>20</v>
      </c>
      <c r="B27" s="3">
        <f>ROUND(C27*$B$9,0)</f>
        <v>49</v>
      </c>
      <c r="C27" s="65">
        <f>IF(A27&lt;10," distance ?",POWER(A27,-0.8233)*272.55)</f>
        <v>23.13706096532902</v>
      </c>
      <c r="D27" s="2"/>
      <c r="E27" s="2"/>
      <c r="F27" s="2"/>
      <c r="G27" s="2"/>
      <c r="H27" s="2"/>
      <c r="I27" s="2"/>
      <c r="J27" s="24"/>
    </row>
    <row r="28" spans="1:10" ht="13.5" thickBot="1">
      <c r="A28" s="28"/>
      <c r="B28" s="29"/>
      <c r="C28" s="29"/>
      <c r="D28" s="29"/>
      <c r="E28" s="29"/>
      <c r="F28" s="29"/>
      <c r="G28" s="29"/>
      <c r="H28" s="29"/>
      <c r="I28" s="29"/>
      <c r="J28" s="30"/>
    </row>
    <row r="29" ht="13.5" thickBot="1"/>
    <row r="30" spans="1:10" ht="12.75">
      <c r="A30" s="19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15">
      <c r="A31" s="35" t="s">
        <v>3</v>
      </c>
      <c r="B31" s="2"/>
      <c r="C31" s="2"/>
      <c r="D31" s="2"/>
      <c r="E31" s="2"/>
      <c r="F31" s="2"/>
      <c r="G31" s="2"/>
      <c r="H31" s="2"/>
      <c r="I31" s="2"/>
      <c r="J31" s="24"/>
    </row>
    <row r="32" spans="1:10" ht="12.75">
      <c r="A32" s="25" t="s">
        <v>4</v>
      </c>
      <c r="B32" s="1" t="s">
        <v>62</v>
      </c>
      <c r="C32" s="1" t="s">
        <v>99</v>
      </c>
      <c r="D32" s="2"/>
      <c r="E32" s="2"/>
      <c r="F32" s="2"/>
      <c r="G32" s="2"/>
      <c r="H32" s="2"/>
      <c r="I32" s="2"/>
      <c r="J32" s="24"/>
    </row>
    <row r="33" spans="1:10" ht="12.75">
      <c r="A33" s="25">
        <v>10</v>
      </c>
      <c r="B33" s="1">
        <f>ROUND(C33*$B$9,0)</f>
        <v>52</v>
      </c>
      <c r="C33" s="1">
        <v>24.2</v>
      </c>
      <c r="D33" s="2"/>
      <c r="E33" s="2"/>
      <c r="F33" s="2"/>
      <c r="G33" s="2"/>
      <c r="H33" s="2"/>
      <c r="I33" s="2"/>
      <c r="J33" s="24"/>
    </row>
    <row r="34" spans="1:10" ht="12.75">
      <c r="A34" s="25">
        <v>25</v>
      </c>
      <c r="B34" s="1">
        <f>ROUND(C34*$B$9,0)</f>
        <v>43</v>
      </c>
      <c r="C34" s="1">
        <v>20</v>
      </c>
      <c r="D34" s="2"/>
      <c r="E34" s="2"/>
      <c r="F34" s="2"/>
      <c r="G34" s="2"/>
      <c r="H34" s="2"/>
      <c r="I34" s="2"/>
      <c r="J34" s="24"/>
    </row>
    <row r="35" spans="1:10" ht="12.75">
      <c r="A35" s="25">
        <v>50</v>
      </c>
      <c r="B35" s="1">
        <f>ROUND(C35*$B$9,0)</f>
        <v>35</v>
      </c>
      <c r="C35" s="1">
        <v>16.3</v>
      </c>
      <c r="D35" s="2"/>
      <c r="E35" s="2"/>
      <c r="F35" s="2"/>
      <c r="G35" s="2"/>
      <c r="H35" s="2"/>
      <c r="I35" s="2"/>
      <c r="J35" s="24"/>
    </row>
    <row r="36" spans="1:10" ht="12.75">
      <c r="A36" s="25">
        <v>75</v>
      </c>
      <c r="B36" s="1">
        <f>ROUND(C36*$B$9,0)</f>
        <v>28</v>
      </c>
      <c r="C36" s="1">
        <v>13.3</v>
      </c>
      <c r="D36" s="2"/>
      <c r="E36" s="2"/>
      <c r="F36" s="2"/>
      <c r="G36" s="2"/>
      <c r="H36" s="2"/>
      <c r="I36" s="2"/>
      <c r="J36" s="24"/>
    </row>
    <row r="37" spans="1:10" ht="12.75">
      <c r="A37" s="25">
        <v>100</v>
      </c>
      <c r="B37" s="1">
        <f>ROUND(C37*$B$9,0)</f>
        <v>24</v>
      </c>
      <c r="C37" s="1">
        <v>11.2</v>
      </c>
      <c r="D37" s="2"/>
      <c r="E37" s="2"/>
      <c r="F37" s="2"/>
      <c r="G37" s="2"/>
      <c r="H37" s="2"/>
      <c r="I37" s="2"/>
      <c r="J37" s="24"/>
    </row>
    <row r="38" spans="1:10" ht="12.75">
      <c r="A38" s="27" t="s">
        <v>102</v>
      </c>
      <c r="B38" s="2"/>
      <c r="C38" s="2"/>
      <c r="D38" s="2"/>
      <c r="E38" s="2"/>
      <c r="F38" s="2"/>
      <c r="G38" s="2"/>
      <c r="H38" s="2"/>
      <c r="I38" s="2"/>
      <c r="J38" s="24"/>
    </row>
    <row r="39" spans="1:10" ht="12.75">
      <c r="A39" s="37">
        <f>+H7</f>
        <v>50</v>
      </c>
      <c r="B39" s="3">
        <f>ROUND(C39*$B$9,0)</f>
        <v>36</v>
      </c>
      <c r="C39" s="48">
        <f>IF(A39&lt;10," distance ?",EXP(-0.0084*A39)*25.345)</f>
        <v>16.65285164821261</v>
      </c>
      <c r="D39" s="2"/>
      <c r="E39" s="2"/>
      <c r="F39" s="2"/>
      <c r="G39" s="2"/>
      <c r="H39" s="2"/>
      <c r="I39" s="2"/>
      <c r="J39" s="24"/>
    </row>
    <row r="40" spans="1:10" ht="12.75">
      <c r="A40" s="27"/>
      <c r="B40" s="31"/>
      <c r="C40" s="2"/>
      <c r="D40" s="2"/>
      <c r="E40" s="2"/>
      <c r="F40" s="2"/>
      <c r="G40" s="2"/>
      <c r="H40" s="2"/>
      <c r="I40" s="2"/>
      <c r="J40" s="24"/>
    </row>
    <row r="41" spans="1:10" ht="12.75">
      <c r="A41" s="27"/>
      <c r="B41" s="31"/>
      <c r="C41" s="2"/>
      <c r="D41" s="2"/>
      <c r="E41" s="2"/>
      <c r="F41" s="2"/>
      <c r="G41" s="2"/>
      <c r="H41" s="2"/>
      <c r="I41" s="2"/>
      <c r="J41" s="24"/>
    </row>
    <row r="42" spans="1:10" ht="12.75">
      <c r="A42" s="27"/>
      <c r="B42" s="31"/>
      <c r="C42" s="2"/>
      <c r="D42" s="2"/>
      <c r="E42" s="2"/>
      <c r="F42" s="2"/>
      <c r="G42" s="2"/>
      <c r="H42" s="2"/>
      <c r="I42" s="2"/>
      <c r="J42" s="24"/>
    </row>
    <row r="43" spans="1:10" ht="13.5" thickBot="1">
      <c r="A43" s="28"/>
      <c r="B43" s="32"/>
      <c r="C43" s="29"/>
      <c r="D43" s="29"/>
      <c r="E43" s="29"/>
      <c r="F43" s="29"/>
      <c r="G43" s="29"/>
      <c r="H43" s="29"/>
      <c r="I43" s="29"/>
      <c r="J43" s="30"/>
    </row>
    <row r="44" ht="13.5" thickBot="1"/>
    <row r="45" spans="1:10" ht="12.75">
      <c r="A45" s="19"/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15">
      <c r="A46" s="35" t="s">
        <v>103</v>
      </c>
      <c r="B46" s="17"/>
      <c r="C46" s="18"/>
      <c r="D46" s="2"/>
      <c r="E46" s="2"/>
      <c r="F46" s="2"/>
      <c r="G46" s="2"/>
      <c r="H46" s="2"/>
      <c r="I46" s="2"/>
      <c r="J46" s="24"/>
    </row>
    <row r="47" spans="1:10" ht="12.75">
      <c r="A47" s="25" t="s">
        <v>4</v>
      </c>
      <c r="B47" s="1" t="s">
        <v>62</v>
      </c>
      <c r="C47" s="1" t="s">
        <v>99</v>
      </c>
      <c r="D47" s="2"/>
      <c r="E47" s="2"/>
      <c r="F47" s="2"/>
      <c r="G47" s="2"/>
      <c r="H47" s="2"/>
      <c r="I47" s="2"/>
      <c r="J47" s="24"/>
    </row>
    <row r="48" spans="1:10" ht="12.75">
      <c r="A48" s="25">
        <v>10</v>
      </c>
      <c r="B48" s="1">
        <f aca="true" t="shared" si="3" ref="B48:B55">ROUND(C48*$B$9,0)</f>
        <v>53</v>
      </c>
      <c r="C48" s="1">
        <v>25</v>
      </c>
      <c r="D48" s="2"/>
      <c r="E48" s="2"/>
      <c r="F48" s="2"/>
      <c r="G48" s="2"/>
      <c r="H48" s="2"/>
      <c r="I48" s="2"/>
      <c r="J48" s="24"/>
    </row>
    <row r="49" spans="1:10" ht="12.75">
      <c r="A49" s="25">
        <v>25</v>
      </c>
      <c r="B49" s="1">
        <f t="shared" si="3"/>
        <v>47</v>
      </c>
      <c r="C49" s="1">
        <v>22</v>
      </c>
      <c r="D49" s="2"/>
      <c r="E49" s="2"/>
      <c r="F49" s="2"/>
      <c r="G49" s="2"/>
      <c r="H49" s="2"/>
      <c r="I49" s="2"/>
      <c r="J49" s="24"/>
    </row>
    <row r="50" spans="1:10" ht="12.75">
      <c r="A50" s="25">
        <v>50</v>
      </c>
      <c r="B50" s="1">
        <f t="shared" si="3"/>
        <v>43</v>
      </c>
      <c r="C50" s="1">
        <v>20</v>
      </c>
      <c r="D50" s="2"/>
      <c r="E50" s="2"/>
      <c r="F50" s="2"/>
      <c r="G50" s="2"/>
      <c r="H50" s="2"/>
      <c r="I50" s="2"/>
      <c r="J50" s="24"/>
    </row>
    <row r="51" spans="1:10" ht="12.75">
      <c r="A51" s="25">
        <v>75</v>
      </c>
      <c r="B51" s="1">
        <f t="shared" si="3"/>
        <v>38</v>
      </c>
      <c r="C51" s="1">
        <v>18</v>
      </c>
      <c r="D51" s="2"/>
      <c r="E51" s="2"/>
      <c r="F51" s="2"/>
      <c r="G51" s="2"/>
      <c r="H51" s="2"/>
      <c r="I51" s="2"/>
      <c r="J51" s="24"/>
    </row>
    <row r="52" spans="1:10" ht="12.75">
      <c r="A52" s="25">
        <v>100</v>
      </c>
      <c r="B52" s="1">
        <f t="shared" si="3"/>
        <v>34</v>
      </c>
      <c r="C52" s="1">
        <v>16</v>
      </c>
      <c r="D52" s="2"/>
      <c r="E52" s="2"/>
      <c r="F52" s="2"/>
      <c r="G52" s="2"/>
      <c r="H52" s="2"/>
      <c r="I52" s="2"/>
      <c r="J52" s="24"/>
    </row>
    <row r="53" spans="1:10" ht="12.75">
      <c r="A53" s="25">
        <v>125</v>
      </c>
      <c r="B53" s="1">
        <f t="shared" si="3"/>
        <v>32</v>
      </c>
      <c r="C53" s="1">
        <v>15</v>
      </c>
      <c r="D53" s="2"/>
      <c r="E53" s="2"/>
      <c r="F53" s="2"/>
      <c r="G53" s="2"/>
      <c r="H53" s="2"/>
      <c r="I53" s="2"/>
      <c r="J53" s="24"/>
    </row>
    <row r="54" spans="1:10" ht="12.75">
      <c r="A54" s="25">
        <v>150</v>
      </c>
      <c r="B54" s="1">
        <f t="shared" si="3"/>
        <v>30</v>
      </c>
      <c r="C54" s="1">
        <v>14</v>
      </c>
      <c r="D54" s="2"/>
      <c r="E54" s="2"/>
      <c r="F54" s="2"/>
      <c r="G54" s="2"/>
      <c r="H54" s="2"/>
      <c r="I54" s="2"/>
      <c r="J54" s="24"/>
    </row>
    <row r="55" spans="1:10" ht="12.75">
      <c r="A55" s="25">
        <v>175</v>
      </c>
      <c r="B55" s="1">
        <f t="shared" si="3"/>
        <v>28</v>
      </c>
      <c r="C55" s="1">
        <v>13</v>
      </c>
      <c r="D55" s="2"/>
      <c r="E55" s="2"/>
      <c r="F55" s="2"/>
      <c r="G55" s="2"/>
      <c r="H55" s="2"/>
      <c r="I55" s="2"/>
      <c r="J55" s="24"/>
    </row>
    <row r="56" spans="1:10" ht="12.75">
      <c r="A56" s="27" t="s">
        <v>102</v>
      </c>
      <c r="B56" s="2"/>
      <c r="C56" s="2"/>
      <c r="D56" s="2"/>
      <c r="E56" s="2"/>
      <c r="F56" s="2"/>
      <c r="G56" s="2"/>
      <c r="H56" s="2"/>
      <c r="I56" s="2"/>
      <c r="J56" s="24"/>
    </row>
    <row r="57" spans="1:10" ht="12.75">
      <c r="A57" s="37">
        <f>+H8</f>
        <v>80</v>
      </c>
      <c r="B57" s="3">
        <f>ROUND(C57*$B$9,0)</f>
        <v>39</v>
      </c>
      <c r="C57" s="48">
        <f>IF(A57&lt;10," distance ?",EXP(-0.0038*A57)*24.53)</f>
        <v>18.099727054033</v>
      </c>
      <c r="D57" s="2"/>
      <c r="E57" s="2"/>
      <c r="F57" s="2"/>
      <c r="G57" s="2"/>
      <c r="H57" s="2"/>
      <c r="I57" s="2"/>
      <c r="J57" s="24"/>
    </row>
    <row r="58" spans="1:10" ht="13.5" thickBot="1">
      <c r="A58" s="28"/>
      <c r="B58" s="29"/>
      <c r="C58" s="29"/>
      <c r="D58" s="29"/>
      <c r="E58" s="29"/>
      <c r="F58" s="29"/>
      <c r="G58" s="29"/>
      <c r="H58" s="29"/>
      <c r="I58" s="29"/>
      <c r="J58" s="30"/>
    </row>
    <row r="59" ht="13.5" thickBot="1"/>
    <row r="60" spans="1:10" ht="12.75">
      <c r="A60" s="58"/>
      <c r="B60" s="59"/>
      <c r="C60" s="59"/>
      <c r="D60" s="59"/>
      <c r="E60" s="59"/>
      <c r="F60" s="20"/>
      <c r="G60" s="20"/>
      <c r="H60" s="20"/>
      <c r="I60" s="20"/>
      <c r="J60" s="21"/>
    </row>
    <row r="61" spans="1:10" ht="12.75">
      <c r="A61" s="60"/>
      <c r="B61" s="61"/>
      <c r="C61" s="61"/>
      <c r="D61" s="61"/>
      <c r="E61" s="61"/>
      <c r="F61" s="2"/>
      <c r="G61" s="2"/>
      <c r="H61" s="2"/>
      <c r="I61" s="2"/>
      <c r="J61" s="24"/>
    </row>
    <row r="62" spans="1:10" ht="15">
      <c r="A62" s="209" t="s">
        <v>143</v>
      </c>
      <c r="B62" s="210"/>
      <c r="C62" s="211"/>
      <c r="D62" s="61"/>
      <c r="E62" s="61"/>
      <c r="F62" s="2"/>
      <c r="G62" s="2"/>
      <c r="H62" s="2"/>
      <c r="I62" s="2"/>
      <c r="J62" s="24"/>
    </row>
    <row r="63" spans="1:10" ht="12.75">
      <c r="A63" s="62" t="s">
        <v>4</v>
      </c>
      <c r="B63" s="63" t="s">
        <v>62</v>
      </c>
      <c r="C63" s="63" t="s">
        <v>99</v>
      </c>
      <c r="D63" s="61"/>
      <c r="E63" s="61"/>
      <c r="F63" s="2"/>
      <c r="G63" s="2"/>
      <c r="H63" s="2"/>
      <c r="I63" s="2"/>
      <c r="J63" s="24"/>
    </row>
    <row r="64" spans="1:10" ht="12.75">
      <c r="A64" s="212">
        <v>10</v>
      </c>
      <c r="B64" s="64">
        <f aca="true" t="shared" si="4" ref="B64:B71">ROUND(C64*$B$9,0)</f>
        <v>56</v>
      </c>
      <c r="C64" s="178">
        <v>26</v>
      </c>
      <c r="D64" s="61"/>
      <c r="E64" s="61"/>
      <c r="F64" s="2"/>
      <c r="G64" s="2"/>
      <c r="H64" s="2"/>
      <c r="I64" s="2"/>
      <c r="J64" s="24"/>
    </row>
    <row r="65" spans="1:10" ht="12.75">
      <c r="A65" s="212">
        <v>25</v>
      </c>
      <c r="B65" s="64">
        <f t="shared" si="4"/>
        <v>49</v>
      </c>
      <c r="C65" s="178">
        <v>23</v>
      </c>
      <c r="D65" s="61"/>
      <c r="E65" s="61"/>
      <c r="F65" s="2"/>
      <c r="G65" s="2"/>
      <c r="H65" s="2"/>
      <c r="I65" s="2"/>
      <c r="J65" s="24"/>
    </row>
    <row r="66" spans="1:10" ht="12.75">
      <c r="A66" s="212">
        <v>50</v>
      </c>
      <c r="B66" s="64">
        <f t="shared" si="4"/>
        <v>45</v>
      </c>
      <c r="C66" s="178">
        <v>21</v>
      </c>
      <c r="D66" s="61"/>
      <c r="E66" s="61"/>
      <c r="F66" s="2"/>
      <c r="G66" s="2"/>
      <c r="H66" s="2"/>
      <c r="I66" s="2"/>
      <c r="J66" s="24"/>
    </row>
    <row r="67" spans="1:10" ht="12.75">
      <c r="A67" s="212">
        <v>75</v>
      </c>
      <c r="B67" s="64">
        <f t="shared" si="4"/>
        <v>41</v>
      </c>
      <c r="C67" s="178">
        <v>19</v>
      </c>
      <c r="D67" s="61"/>
      <c r="E67" s="61"/>
      <c r="F67" s="2"/>
      <c r="G67" s="2"/>
      <c r="H67" s="2"/>
      <c r="I67" s="2"/>
      <c r="J67" s="24"/>
    </row>
    <row r="68" spans="1:10" ht="12.75">
      <c r="A68" s="212">
        <v>100</v>
      </c>
      <c r="B68" s="64">
        <f t="shared" si="4"/>
        <v>36</v>
      </c>
      <c r="C68" s="178">
        <v>17</v>
      </c>
      <c r="D68" s="61"/>
      <c r="E68" s="61"/>
      <c r="F68" s="2"/>
      <c r="G68" s="2"/>
      <c r="H68" s="2"/>
      <c r="I68" s="2"/>
      <c r="J68" s="24"/>
    </row>
    <row r="69" spans="1:10" ht="12.75">
      <c r="A69" s="212">
        <v>125</v>
      </c>
      <c r="B69" s="64">
        <f t="shared" si="4"/>
        <v>34</v>
      </c>
      <c r="C69" s="178">
        <v>16</v>
      </c>
      <c r="D69" s="61"/>
      <c r="E69" s="61"/>
      <c r="F69" s="2"/>
      <c r="G69" s="2"/>
      <c r="H69" s="2"/>
      <c r="I69" s="2"/>
      <c r="J69" s="24"/>
    </row>
    <row r="70" spans="1:10" ht="12.75">
      <c r="A70" s="212">
        <v>150</v>
      </c>
      <c r="B70" s="64">
        <f t="shared" si="4"/>
        <v>32</v>
      </c>
      <c r="C70" s="178">
        <v>15</v>
      </c>
      <c r="D70" s="61"/>
      <c r="E70" s="61"/>
      <c r="F70" s="2"/>
      <c r="G70" s="2"/>
      <c r="H70" s="2"/>
      <c r="I70" s="2"/>
      <c r="J70" s="24"/>
    </row>
    <row r="71" spans="1:10" ht="12.75">
      <c r="A71" s="212">
        <v>175</v>
      </c>
      <c r="B71" s="64">
        <f t="shared" si="4"/>
        <v>30</v>
      </c>
      <c r="C71" s="178">
        <v>14</v>
      </c>
      <c r="D71" s="61"/>
      <c r="E71" s="61"/>
      <c r="F71" s="2"/>
      <c r="G71" s="2"/>
      <c r="H71" s="2"/>
      <c r="I71" s="2"/>
      <c r="J71" s="24"/>
    </row>
    <row r="72" spans="1:10" ht="12.75">
      <c r="A72" s="27" t="s">
        <v>102</v>
      </c>
      <c r="B72" s="2"/>
      <c r="C72" s="2"/>
      <c r="D72" s="2"/>
      <c r="E72" s="2"/>
      <c r="F72" s="2"/>
      <c r="G72" s="2"/>
      <c r="H72" s="2"/>
      <c r="I72" s="2"/>
      <c r="J72" s="24"/>
    </row>
    <row r="73" spans="1:10" ht="12.75">
      <c r="A73" s="37">
        <f>+H9</f>
        <v>100</v>
      </c>
      <c r="B73" s="3">
        <f>ROUND(C73*$B$9,0)</f>
        <v>38</v>
      </c>
      <c r="C73" s="173">
        <f>IF(A73&lt;10," distance ?",EXP(-0.0036*A73)*25.493)</f>
        <v>17.785862580528793</v>
      </c>
      <c r="D73" s="2"/>
      <c r="E73" s="2"/>
      <c r="F73" s="2"/>
      <c r="G73" s="2"/>
      <c r="H73" s="2"/>
      <c r="I73" s="2"/>
      <c r="J73" s="24"/>
    </row>
    <row r="74" spans="1:10" ht="12.75">
      <c r="A74" s="27"/>
      <c r="B74" s="2"/>
      <c r="C74" s="2"/>
      <c r="D74" s="2"/>
      <c r="E74" s="2"/>
      <c r="F74" s="2"/>
      <c r="G74" s="2"/>
      <c r="H74" s="2"/>
      <c r="I74" s="2"/>
      <c r="J74" s="24"/>
    </row>
    <row r="75" spans="1:10" ht="13.5" thickBot="1">
      <c r="A75" s="28"/>
      <c r="B75" s="29"/>
      <c r="C75" s="29"/>
      <c r="D75" s="29"/>
      <c r="E75" s="29"/>
      <c r="F75" s="29"/>
      <c r="G75" s="29"/>
      <c r="H75" s="29"/>
      <c r="I75" s="29"/>
      <c r="J75" s="30"/>
    </row>
  </sheetData>
  <mergeCells count="8">
    <mergeCell ref="F6:G6"/>
    <mergeCell ref="F7:G7"/>
    <mergeCell ref="F8:G8"/>
    <mergeCell ref="F9:G9"/>
    <mergeCell ref="A3:C4"/>
    <mergeCell ref="E3:F3"/>
    <mergeCell ref="E4:F4"/>
    <mergeCell ref="H4:K4"/>
  </mergeCells>
  <printOptions/>
  <pageMargins left="0.75" right="0.75" top="1" bottom="1" header="0.5" footer="0.5"/>
  <pageSetup cellComments="asDisplayed" fitToHeight="1" fitToWidth="1" horizontalDpi="600" verticalDpi="600" orientation="portrait" scale="55" r:id="rId4"/>
  <headerFooter alignWithMargins="0">
    <oddFooter>&amp;LFile:  &amp;F
Sheet:  &amp;A&amp;CExperimental Mine
Val-d'Or&amp;R&amp;D
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landscape" scale="120" r:id="rId2"/>
  <headerFooter alignWithMargins="0">
    <oddFooter>&amp;LFile:  &amp;F
Sheet:  &amp;A&amp;CExperimental Mine
 Val-d'Or&amp;R&amp;D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Canmet-MMSL</dc:creator>
  <cp:keywords/>
  <dc:description/>
  <cp:lastModifiedBy>Roger Lacroix</cp:lastModifiedBy>
  <cp:lastPrinted>2002-07-09T14:04:27Z</cp:lastPrinted>
  <dcterms:created xsi:type="dcterms:W3CDTF">2000-05-03T18:12:35Z</dcterms:created>
  <dcterms:modified xsi:type="dcterms:W3CDTF">2004-05-14T15:37:18Z</dcterms:modified>
  <cp:category/>
  <cp:version/>
  <cp:contentType/>
  <cp:contentStatus/>
</cp:coreProperties>
</file>