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3120" activeTab="0"/>
  </bookViews>
  <sheets>
    <sheet name="UPPERS" sheetId="1" r:id="rId1"/>
    <sheet name="BREASTS" sheetId="2" r:id="rId2"/>
    <sheet name="DRAWINGS" sheetId="3" r:id="rId3"/>
  </sheets>
  <definedNames>
    <definedName name="_xlnm.Print_Area" localSheetId="1">'BREASTS'!$A$1:$N$218</definedName>
    <definedName name="_xlnm.Print_Area" localSheetId="2">'DRAWINGS'!$A:$IV</definedName>
    <definedName name="_xlnm.Print_Area" localSheetId="0">'UPPERS'!$A$1:$K$171</definedName>
    <definedName name="_xlnm.Print_Titles" localSheetId="1">'BREASTS'!$1:$4</definedName>
    <definedName name="_xlnm.Print_Titles" localSheetId="0">'UPPERS'!$1:$4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I53" authorId="0">
      <text>
        <r>
          <rPr>
            <b/>
            <sz val="11"/>
            <rFont val="Tahoma"/>
            <family val="2"/>
          </rPr>
          <t>Enter the time required to level the broken ore for the entire lift when done in a single step (must include mucking delays)</t>
        </r>
      </text>
    </comment>
    <comment ref="F77" authorId="0">
      <text>
        <r>
          <rPr>
            <b/>
            <sz val="11"/>
            <rFont val="Tahoma"/>
            <family val="2"/>
          </rPr>
          <t>Length to be mined without the slot raises and the main raise</t>
        </r>
        <r>
          <rPr>
            <b/>
            <sz val="12"/>
            <rFont val="Tahoma"/>
            <family val="2"/>
          </rPr>
          <t xml:space="preserve">
</t>
        </r>
      </text>
    </comment>
    <comment ref="B85" authorId="0">
      <text>
        <r>
          <rPr>
            <b/>
            <sz val="11"/>
            <rFont val="Tahoma"/>
            <family val="2"/>
          </rPr>
          <t xml:space="preserve">Time required to scale one meter (the roof and the two walls) and to clean the bootlegs
</t>
        </r>
      </text>
    </comment>
    <comment ref="J108" authorId="0">
      <text>
        <r>
          <rPr>
            <b/>
            <sz val="11"/>
            <rFont val="Arial"/>
            <family val="2"/>
          </rPr>
          <t>Distance between rows</t>
        </r>
      </text>
    </comment>
  </commentList>
</comments>
</file>

<file path=xl/comments2.xml><?xml version="1.0" encoding="utf-8"?>
<comments xmlns="http://schemas.openxmlformats.org/spreadsheetml/2006/main">
  <authors>
    <author>rolacroi</author>
  </authors>
  <commentList>
    <comment ref="J36" authorId="0">
      <text>
        <r>
          <rPr>
            <b/>
            <sz val="11"/>
            <rFont val="Tahoma"/>
            <family val="2"/>
          </rPr>
          <t>Enter the time required to level the ore for each breast (must include mucking delays)</t>
        </r>
      </text>
    </comment>
    <comment ref="F88" authorId="0">
      <text>
        <r>
          <rPr>
            <b/>
            <sz val="10"/>
            <rFont val="Tahoma"/>
            <family val="2"/>
          </rPr>
          <t>Length to be mined without the main raise and the slot raises</t>
        </r>
      </text>
    </comment>
    <comment ref="B101" authorId="0">
      <text>
        <r>
          <rPr>
            <b/>
            <sz val="11"/>
            <rFont val="Tahoma"/>
            <family val="2"/>
          </rPr>
          <t xml:space="preserve">Time required to scale one meter (the roof and the two walls) and to clean the bootlegs
</t>
        </r>
      </text>
    </comment>
    <comment ref="I53" authorId="0">
      <text>
        <r>
          <rPr>
            <b/>
            <sz val="11"/>
            <rFont val="Tahoma"/>
            <family val="2"/>
          </rPr>
          <t>Enter the time required to level the broken ore for the entire lift when done in a single step (must include mucking delays)</t>
        </r>
      </text>
    </comment>
  </commentList>
</comments>
</file>

<file path=xl/sharedStrings.xml><?xml version="1.0" encoding="utf-8"?>
<sst xmlns="http://schemas.openxmlformats.org/spreadsheetml/2006/main" count="548" uniqueCount="275">
  <si>
    <t>Lunch</t>
  </si>
  <si>
    <t>SUPPORT</t>
  </si>
  <si>
    <t>VENTILATION</t>
  </si>
  <si>
    <t xml:space="preserve">Ventilation </t>
  </si>
  <si>
    <t>total</t>
  </si>
  <si>
    <t>NOTES</t>
  </si>
  <si>
    <t>minutes</t>
  </si>
  <si>
    <t>total :</t>
  </si>
  <si>
    <t xml:space="preserve"> +</t>
  </si>
  <si>
    <t xml:space="preserve"> =</t>
  </si>
  <si>
    <t xml:space="preserve"> &lt;=&gt;</t>
  </si>
  <si>
    <t>-</t>
  </si>
  <si>
    <t xml:space="preserve"> /</t>
  </si>
  <si>
    <t>=</t>
  </si>
  <si>
    <t xml:space="preserve"> x</t>
  </si>
  <si>
    <t>+</t>
  </si>
  <si>
    <t>TOTAL</t>
  </si>
  <si>
    <t>RELATED TO DRILLING</t>
  </si>
  <si>
    <t>RELATED TO GROUND</t>
  </si>
  <si>
    <t>hours</t>
  </si>
  <si>
    <t>hours/shift</t>
  </si>
  <si>
    <t>RELATED TO MANWAYS</t>
  </si>
  <si>
    <t>Surveyors</t>
  </si>
  <si>
    <t>Here are the most common steps</t>
  </si>
  <si>
    <t>ore density (t/m³)</t>
  </si>
  <si>
    <t>GROUND SUPPORT PARAMETERS</t>
  </si>
  <si>
    <t>total hours</t>
  </si>
  <si>
    <t>Average drilling rate</t>
  </si>
  <si>
    <t>Number of rows</t>
  </si>
  <si>
    <t>BLASTING PARAMETERS</t>
  </si>
  <si>
    <t>meters</t>
  </si>
  <si>
    <t>Blasting</t>
  </si>
  <si>
    <t>SCALING</t>
  </si>
  <si>
    <t>DRILLING</t>
  </si>
  <si>
    <t>MUCKING</t>
  </si>
  <si>
    <t>BLASTING</t>
  </si>
  <si>
    <t>MANWAYS</t>
  </si>
  <si>
    <t>OTHERS</t>
  </si>
  <si>
    <t>see support</t>
  </si>
  <si>
    <t>DIRECT FIXED             (hours)</t>
  </si>
  <si>
    <t>ONLY DIRECT VARIABLE ACTIVITIES ARE INFLUENCED BY THE NUMBER OF MEN.</t>
  </si>
  <si>
    <t>MANSHIFTS</t>
  </si>
  <si>
    <t>PRODUCTIVE</t>
  </si>
  <si>
    <t>TOTAL  (STOPE)</t>
  </si>
  <si>
    <t>FIXED</t>
  </si>
  <si>
    <t>PRODUCTIVITY</t>
  </si>
  <si>
    <t xml:space="preserve"> # advances</t>
  </si>
  <si>
    <t xml:space="preserve">total hours </t>
  </si>
  <si>
    <t>DRILLING PARAMETERS</t>
  </si>
  <si>
    <t>Number of holes per breast</t>
  </si>
  <si>
    <t xml:space="preserve"> (evacuation of fumes)</t>
  </si>
  <si>
    <t>DIRECT ACTIVITIES</t>
  </si>
  <si>
    <t xml:space="preserve">occupation rate of the stope per advance </t>
  </si>
  <si>
    <t xml:space="preserve">occupation rate of the shift per advance </t>
  </si>
  <si>
    <t>NUMBER OF HOURS PER SHIFT</t>
  </si>
  <si>
    <t>Number of hours per shift</t>
  </si>
  <si>
    <t>6.0 - LIFT COMPILATION</t>
  </si>
  <si>
    <t>with a performance of</t>
  </si>
  <si>
    <t xml:space="preserve">FIXED </t>
  </si>
  <si>
    <t xml:space="preserve">with a performance of </t>
  </si>
  <si>
    <t>Cage (at beginning and end of shift)</t>
  </si>
  <si>
    <t>Back and forth to stope</t>
  </si>
  <si>
    <t>Supervision</t>
  </si>
  <si>
    <t>Work planning</t>
  </si>
  <si>
    <t>Frequency or Units</t>
  </si>
  <si>
    <t>Bring explosives</t>
  </si>
  <si>
    <t>hours/blast</t>
  </si>
  <si>
    <t>Bring material</t>
  </si>
  <si>
    <t>holes/blast</t>
  </si>
  <si>
    <t>number of blasts</t>
  </si>
  <si>
    <t>with a contingency of</t>
  </si>
  <si>
    <t>CONTINGENCY</t>
  </si>
  <si>
    <t>INSIDE THE STOPE</t>
  </si>
  <si>
    <t>longitudinal m</t>
  </si>
  <si>
    <t>Mechanics &amp; electricians</t>
  </si>
  <si>
    <t>Mechanics and electricians</t>
  </si>
  <si>
    <t>Clean and load holes</t>
  </si>
  <si>
    <t>Hours/shift</t>
  </si>
  <si>
    <t>Men</t>
  </si>
  <si>
    <t>Calculation of number of shifts of direct fixed activities</t>
  </si>
  <si>
    <t>In this section, you can optimize your operating parameters to simulate your operation or to find</t>
  </si>
  <si>
    <t>minutes required/</t>
  </si>
  <si>
    <t>blast</t>
  </si>
  <si>
    <t>THEREFORE, ACCORDING TO THE NUMBER OF MEN ENTERED, WE OBTAIN:</t>
  </si>
  <si>
    <t>Contingency</t>
  </si>
  <si>
    <t>with contingency</t>
  </si>
  <si>
    <t>Others - access verification</t>
  </si>
  <si>
    <t>tonnes</t>
  </si>
  <si>
    <t>tonnes per hole</t>
  </si>
  <si>
    <t>tonnes/manshift</t>
  </si>
  <si>
    <t>1.0 - DIRECT FIXED ACTIVITIES PER SHIFT (outside the stope)</t>
  </si>
  <si>
    <t>3.0 - DIRECT FIXED ACTIVITIES PER LIFT (inside the stope)</t>
  </si>
  <si>
    <t>Travelling (shaft - refuge station - shaft)</t>
  </si>
  <si>
    <t>Other travelling delays</t>
  </si>
  <si>
    <t>Connect the blast</t>
  </si>
  <si>
    <t>Store equipment and explosives</t>
  </si>
  <si>
    <t>Store material</t>
  </si>
  <si>
    <t>Bring and prepare material</t>
  </si>
  <si>
    <t>Complete daily reports</t>
  </si>
  <si>
    <t>Number of holes/row</t>
  </si>
  <si>
    <t>SHRINKAGE STOPE</t>
  </si>
  <si>
    <t>LIFT BY UPPERS</t>
  </si>
  <si>
    <t>LIFT BY BREASTS</t>
  </si>
  <si>
    <t>RAISE OUTSIDE THE STOPE</t>
  </si>
  <si>
    <t>FOUR LIFTS ARE INCLUDED IN THE</t>
  </si>
  <si>
    <t>CALCULATIONS</t>
  </si>
  <si>
    <t>2.0 - DIRECT FIXED ACTIVITIES PER STEP (inside the stope)</t>
  </si>
  <si>
    <t>OTHER ACTIVITIES</t>
  </si>
  <si>
    <t>PER LIFT</t>
  </si>
  <si>
    <t>4.0 - DIRECT VARIABLE ACTIVITIES PER STEP (inside the stope)</t>
  </si>
  <si>
    <t>4.2 - Scaling</t>
  </si>
  <si>
    <t>4.3 - Ground Support</t>
  </si>
  <si>
    <t>4.4 - Drilling</t>
  </si>
  <si>
    <t>4.5 - Loading and Blasting</t>
  </si>
  <si>
    <t>4.6 - Ventilation</t>
  </si>
  <si>
    <t>5.0 - LIFT COMPILATION</t>
  </si>
  <si>
    <t>TABLE OF REQUIRED HOURS PER LIFT</t>
  </si>
  <si>
    <t>(inside the stope)</t>
  </si>
  <si>
    <t>RELATED TO</t>
  </si>
  <si>
    <t>Time                      (min)/Unit</t>
  </si>
  <si>
    <t>Total Time           (min)</t>
  </si>
  <si>
    <t>Bring equipment and material</t>
  </si>
  <si>
    <t>Install setup platform</t>
  </si>
  <si>
    <t>Prepare material</t>
  </si>
  <si>
    <t>Store equipment and material</t>
  </si>
  <si>
    <t>Access verification</t>
  </si>
  <si>
    <t>Extra scaling</t>
  </si>
  <si>
    <t>Repair and install ventilation</t>
  </si>
  <si>
    <t>minutes/setup</t>
  </si>
  <si>
    <t>hours/setup</t>
  </si>
  <si>
    <t>minutes/blast</t>
  </si>
  <si>
    <t>Remove setup platform</t>
  </si>
  <si>
    <t>(see steps 4 &amp; 5 in drawing)</t>
  </si>
  <si>
    <t>Preparation to build manways</t>
  </si>
  <si>
    <t>Build manways</t>
  </si>
  <si>
    <t>hours (manways)</t>
  </si>
  <si>
    <t>Geologists</t>
  </si>
  <si>
    <t>Repairs in main access</t>
  </si>
  <si>
    <t>in Shrinkage Stopes:</t>
  </si>
  <si>
    <t>The two slot raises at either end of the stope are optional.  If you would</t>
  </si>
  <si>
    <t>rather use the main raise as a slot, just enter "0" in the "Number of rounds</t>
  </si>
  <si>
    <t>per lift" cell in the "Slot raise parameters" section.</t>
  </si>
  <si>
    <t>4.1 - Lift Dimensions</t>
  </si>
  <si>
    <t>Time                (min)/Unit</t>
  </si>
  <si>
    <t>5.0 - BREAST COMPILATION</t>
  </si>
  <si>
    <t>TABLE OF REQUIRED HOURS PER BREAST</t>
  </si>
  <si>
    <t>5.1 - CALCULATION OF THE POSSIBLE NUMBER OF ADVANCES PER SHIFT ACCORDING TO ENTERED DATA:</t>
  </si>
  <si>
    <t>LEVEL THE BROKEN ORE ONCE PER LIFT</t>
  </si>
  <si>
    <t>Level ore with scraper</t>
  </si>
  <si>
    <t>Slot raise</t>
  </si>
  <si>
    <t>parameters</t>
  </si>
  <si>
    <t>Lift</t>
  </si>
  <si>
    <t>Number of rounds/lift</t>
  </si>
  <si>
    <t>Drilled length/round</t>
  </si>
  <si>
    <t>Broken length/round</t>
  </si>
  <si>
    <t>Total tonnes in rounds</t>
  </si>
  <si>
    <t>Length</t>
  </si>
  <si>
    <t>Average width</t>
  </si>
  <si>
    <t>Height</t>
  </si>
  <si>
    <t>Tonnes</t>
  </si>
  <si>
    <t>Wash, scale and clean bootlegs</t>
  </si>
  <si>
    <t>minutes/</t>
  </si>
  <si>
    <t>total hours                       (lift)</t>
  </si>
  <si>
    <t xml:space="preserve">Drilling for support </t>
  </si>
  <si>
    <t>Installation of ground support</t>
  </si>
  <si>
    <t>(screen included)</t>
  </si>
  <si>
    <t>installation time    /bolt (min)</t>
  </si>
  <si>
    <t>Drilled length/bolt</t>
  </si>
  <si>
    <t>Number of bolts/1.2 m advanced</t>
  </si>
  <si>
    <t>Drilled meters/meter avanced</t>
  </si>
  <si>
    <t>Roof pattern</t>
  </si>
  <si>
    <t>Hanging wall pattern</t>
  </si>
  <si>
    <t>Footwall pattern</t>
  </si>
  <si>
    <t>Meters to drill</t>
  </si>
  <si>
    <t xml:space="preserve">Time required for drilling (hours) </t>
  </si>
  <si>
    <t>drilled holes/round</t>
  </si>
  <si>
    <t># holes</t>
  </si>
  <si>
    <t>Time required to drill a 1.2-m hole (min)</t>
  </si>
  <si>
    <t>Time required for repositioning, changing drilling steel and bits, etc. per hole of 2.4 m (min)</t>
  </si>
  <si>
    <t>Total average time to drill a 2.4-m hole (min)</t>
  </si>
  <si>
    <t>(drilled meters per hour/man/drill)</t>
  </si>
  <si>
    <t>DRILLING PATTERN (uppers)</t>
  </si>
  <si>
    <t>Drilled length (m)</t>
  </si>
  <si>
    <t>Broken length (m)</t>
  </si>
  <si>
    <t>Average width (m)</t>
  </si>
  <si>
    <t>tonnes/drilled m</t>
  </si>
  <si>
    <t>average time/         hole (min)</t>
  </si>
  <si>
    <t>total hours (lift)</t>
  </si>
  <si>
    <t>length (m)/blast</t>
  </si>
  <si>
    <t>Hole diameter (mm)</t>
  </si>
  <si>
    <t>Explosive density (g/cc)</t>
  </si>
  <si>
    <r>
      <t>Powder factor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(kg/tonne)</t>
    </r>
  </si>
  <si>
    <t>Kg of explosives/meter</t>
  </si>
  <si>
    <t>Number of blasts (lift)</t>
  </si>
  <si>
    <t>(To use when blasting causes a delay during the shift or when the work schedule is 24 hours a day)</t>
  </si>
  <si>
    <t>(evacuation of fumes)</t>
  </si>
  <si>
    <t>Total number of blasts (rounds + lift)</t>
  </si>
  <si>
    <t>minutes required</t>
  </si>
  <si>
    <t>/blast</t>
  </si>
  <si>
    <t>DIRECT ACTIVITIES PER LIFT</t>
  </si>
  <si>
    <t>Scheduled hours</t>
  </si>
  <si>
    <t>DIRECT VARIABLE     (hours)</t>
  </si>
  <si>
    <t>DIRECT VARIABLE    (hours) *</t>
  </si>
  <si>
    <t>REQUIRED MANHOURS</t>
  </si>
  <si>
    <t>REQUIRED MANSHIFTS</t>
  </si>
  <si>
    <t>REQUIRED NUMBER OF MEN</t>
  </si>
  <si>
    <t>manshift contingency</t>
  </si>
  <si>
    <t>required manshifts inside the stope</t>
  </si>
  <si>
    <t>required manshifts from direct fixed activities (outside the stope)</t>
  </si>
  <si>
    <t>total manshifts required</t>
  </si>
  <si>
    <t>OUTSIDE STOPE</t>
  </si>
  <si>
    <t>manhours</t>
  </si>
  <si>
    <t>manshifts</t>
  </si>
  <si>
    <t xml:space="preserve">Bring equipment and material </t>
  </si>
  <si>
    <t>Mucking delay before blasting</t>
  </si>
  <si>
    <t xml:space="preserve">Level ore with scraper           </t>
  </si>
  <si>
    <t>Breast</t>
  </si>
  <si>
    <t>Drilled length</t>
  </si>
  <si>
    <t>Broken length</t>
  </si>
  <si>
    <t>Width</t>
  </si>
  <si>
    <t>(lift)</t>
  </si>
  <si>
    <t>installation time/bolt (min)</t>
  </si>
  <si>
    <t>holes/round</t>
  </si>
  <si>
    <t>drilled</t>
  </si>
  <si>
    <t>blasted</t>
  </si>
  <si>
    <t>Drilled meters/m advanced</t>
  </si>
  <si>
    <t>Time required for drilling (hours)</t>
  </si>
  <si>
    <t>DRILLING PATTERN (breasts)</t>
  </si>
  <si>
    <t>tonnes/drilled meter</t>
  </si>
  <si>
    <t>Required explosives (kg)</t>
  </si>
  <si>
    <t>average time/            hole (min)</t>
  </si>
  <si>
    <t>Powder factor             per breast              (kg/tonne)</t>
  </si>
  <si>
    <t>PER ADVANCE</t>
  </si>
  <si>
    <t>Scheduled hrs</t>
  </si>
  <si>
    <t>DIRECT VARIABLE     (hours) *</t>
  </si>
  <si>
    <t>the required parameters to reach the desired performance.</t>
  </si>
  <si>
    <t>Direct fixed time outside the stope/shift</t>
  </si>
  <si>
    <t>Available time inside the stope/shift</t>
  </si>
  <si>
    <t>Possible number of advances per shift</t>
  </si>
  <si>
    <t>DIRECT VARIABLE      (hours)</t>
  </si>
  <si>
    <t xml:space="preserve">  * The number of required hours is corrected according to the number of men entered in section 5.0.</t>
  </si>
  <si>
    <t>advance/shift</t>
  </si>
  <si>
    <t xml:space="preserve">which represents an occupation rate of the shift (contingency included) of </t>
  </si>
  <si>
    <t xml:space="preserve">From your best estimate, you can maintain </t>
  </si>
  <si>
    <t>Calculation of required manhifts with contingency</t>
  </si>
  <si>
    <t>Required manhours</t>
  </si>
  <si>
    <t>Required manshifts</t>
  </si>
  <si>
    <t>Calculation of number of shifts according to schedule</t>
  </si>
  <si>
    <t>Required manshifts with contingency</t>
  </si>
  <si>
    <t>Number of required shifts (schedule)</t>
  </si>
  <si>
    <t>Direct fixed hours/shift</t>
  </si>
  <si>
    <t>Calculation of total number of required manshifts</t>
  </si>
  <si>
    <t xml:space="preserve">Total number of required shifts </t>
  </si>
  <si>
    <t xml:space="preserve">Required manshifts </t>
  </si>
  <si>
    <t>Available hours inside the stope</t>
  </si>
  <si>
    <t xml:space="preserve">Number of shifts of </t>
  </si>
  <si>
    <t>direct fixed activities (schedule)</t>
  </si>
  <si>
    <t xml:space="preserve"> Number of rounds/lift</t>
  </si>
  <si>
    <t>(see steps 2 &amp; 4 in drawing)</t>
  </si>
  <si>
    <t>Here are the most common steps in Shrinkage Stopes</t>
  </si>
  <si>
    <t>with the raise outside the stope:</t>
  </si>
  <si>
    <t>Version:  February 8, 2002</t>
  </si>
  <si>
    <t>Tonnes/breast</t>
  </si>
  <si>
    <t xml:space="preserve">contingency (ventilation included) </t>
  </si>
  <si>
    <t xml:space="preserve">allocated time for contingency </t>
  </si>
  <si>
    <t xml:space="preserve">total time required inside the stope (contingency included) </t>
  </si>
  <si>
    <t xml:space="preserve">total time of direct fixed activities outside the stope </t>
  </si>
  <si>
    <t xml:space="preserve">total time required per advance </t>
  </si>
  <si>
    <t>TOTAL (STOPE)</t>
  </si>
  <si>
    <t xml:space="preserve"> Scheduled hrs</t>
  </si>
  <si>
    <t>Burden (m)</t>
  </si>
  <si>
    <t>Calculation of the number of round per shift (slot raise)</t>
  </si>
  <si>
    <t>Required time per round (hours)</t>
  </si>
  <si>
    <t>Number of rounds per shift</t>
  </si>
  <si>
    <t>Version:  May 7, 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</si>
</sst>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</numFmts>
  <fonts count="30">
    <font>
      <sz val="10"/>
      <name val="Arial"/>
      <family val="0"/>
    </font>
    <font>
      <b/>
      <sz val="10"/>
      <color indexed="10"/>
      <name val="Arial"/>
      <family val="2"/>
    </font>
    <font>
      <i/>
      <u val="single"/>
      <sz val="2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12"/>
      <color indexed="10"/>
      <name val="Arial"/>
      <family val="2"/>
    </font>
    <font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1"/>
      <name val="Tahoma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13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2" borderId="1" xfId="0" applyFill="1" applyBorder="1" applyAlignment="1">
      <alignment/>
    </xf>
    <xf numFmtId="0" fontId="0" fillId="0" borderId="0" xfId="0" applyBorder="1" applyAlignment="1" quotePrefix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indent="4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2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2" borderId="1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9" fillId="0" borderId="0" xfId="0" applyFont="1" applyAlignment="1">
      <alignment horizontal="left" indent="4"/>
    </xf>
    <xf numFmtId="164" fontId="9" fillId="2" borderId="0" xfId="0" applyNumberFormat="1" applyFont="1" applyFill="1" applyAlignment="1">
      <alignment/>
    </xf>
    <xf numFmtId="0" fontId="10" fillId="0" borderId="0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 indent="2"/>
    </xf>
    <xf numFmtId="0" fontId="9" fillId="0" borderId="0" xfId="0" applyFont="1" applyAlignment="1">
      <alignment horizontal="right"/>
    </xf>
    <xf numFmtId="0" fontId="0" fillId="0" borderId="6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2" fontId="0" fillId="0" borderId="0" xfId="0" applyNumberFormat="1" applyAlignment="1">
      <alignment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0" xfId="0" applyFont="1" applyAlignment="1">
      <alignment horizontal="left" indent="1"/>
    </xf>
    <xf numFmtId="0" fontId="16" fillId="0" borderId="0" xfId="0" applyFont="1" applyAlignment="1">
      <alignment/>
    </xf>
    <xf numFmtId="164" fontId="4" fillId="2" borderId="18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1" fontId="9" fillId="2" borderId="1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0" fontId="0" fillId="0" borderId="3" xfId="0" applyBorder="1" applyAlignment="1">
      <alignment horizontal="left" indent="2"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Alignment="1">
      <alignment horizontal="left" inden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 indent="5"/>
    </xf>
    <xf numFmtId="0" fontId="9" fillId="0" borderId="15" xfId="0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0" fillId="2" borderId="21" xfId="0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164" fontId="0" fillId="0" borderId="7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3" borderId="26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16" fillId="0" borderId="6" xfId="0" applyFont="1" applyBorder="1" applyAlignment="1">
      <alignment/>
    </xf>
    <xf numFmtId="0" fontId="0" fillId="0" borderId="6" xfId="0" applyBorder="1" applyAlignment="1">
      <alignment horizontal="left" indent="2"/>
    </xf>
    <xf numFmtId="0" fontId="16" fillId="0" borderId="6" xfId="0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78" fontId="0" fillId="2" borderId="1" xfId="15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25" fillId="0" borderId="0" xfId="0" applyFont="1" applyAlignment="1">
      <alignment/>
    </xf>
    <xf numFmtId="2" fontId="0" fillId="2" borderId="1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6" fillId="2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9" fontId="3" fillId="0" borderId="1" xfId="19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9" fontId="0" fillId="0" borderId="28" xfId="19" applyBorder="1" applyAlignment="1">
      <alignment horizontal="center"/>
    </xf>
    <xf numFmtId="9" fontId="0" fillId="0" borderId="17" xfId="19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left" indent="2"/>
    </xf>
    <xf numFmtId="0" fontId="16" fillId="0" borderId="0" xfId="0" applyFont="1" applyBorder="1" applyAlignment="1">
      <alignment horizontal="right"/>
    </xf>
    <xf numFmtId="0" fontId="0" fillId="0" borderId="35" xfId="0" applyBorder="1" applyAlignment="1">
      <alignment horizontal="left" indent="4"/>
    </xf>
    <xf numFmtId="0" fontId="4" fillId="0" borderId="0" xfId="0" applyFont="1" applyBorder="1" applyAlignment="1">
      <alignment horizontal="left" indent="1"/>
    </xf>
    <xf numFmtId="0" fontId="26" fillId="0" borderId="0" xfId="0" applyFont="1" applyAlignment="1">
      <alignment/>
    </xf>
    <xf numFmtId="2" fontId="14" fillId="2" borderId="1" xfId="0" applyNumberFormat="1" applyFont="1" applyFill="1" applyBorder="1" applyAlignment="1">
      <alignment/>
    </xf>
    <xf numFmtId="164" fontId="14" fillId="2" borderId="1" xfId="0" applyNumberFormat="1" applyFont="1" applyFill="1" applyBorder="1" applyAlignment="1">
      <alignment/>
    </xf>
    <xf numFmtId="0" fontId="14" fillId="5" borderId="1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/>
    </xf>
    <xf numFmtId="2" fontId="9" fillId="2" borderId="0" xfId="0" applyNumberFormat="1" applyFont="1" applyFill="1" applyAlignment="1">
      <alignment/>
    </xf>
    <xf numFmtId="0" fontId="0" fillId="3" borderId="8" xfId="0" applyFill="1" applyBorder="1" applyAlignment="1">
      <alignment horizontal="center"/>
    </xf>
    <xf numFmtId="0" fontId="0" fillId="0" borderId="36" xfId="0" applyBorder="1" applyAlignment="1">
      <alignment/>
    </xf>
    <xf numFmtId="2" fontId="14" fillId="5" borderId="1" xfId="0" applyNumberFormat="1" applyFont="1" applyFill="1" applyBorder="1" applyAlignment="1">
      <alignment/>
    </xf>
    <xf numFmtId="164" fontId="14" fillId="2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indent="4"/>
    </xf>
    <xf numFmtId="0" fontId="0" fillId="0" borderId="37" xfId="0" applyBorder="1" applyAlignment="1">
      <alignment/>
    </xf>
    <xf numFmtId="0" fontId="9" fillId="0" borderId="3" xfId="0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3" xfId="0" applyFont="1" applyBorder="1" applyAlignment="1">
      <alignment horizontal="left" indent="4"/>
    </xf>
    <xf numFmtId="0" fontId="0" fillId="0" borderId="22" xfId="0" applyBorder="1" applyAlignment="1">
      <alignment/>
    </xf>
    <xf numFmtId="0" fontId="6" fillId="0" borderId="22" xfId="0" applyFont="1" applyBorder="1" applyAlignment="1">
      <alignment horizontal="center"/>
    </xf>
    <xf numFmtId="0" fontId="14" fillId="0" borderId="0" xfId="0" applyFont="1" applyBorder="1" applyAlignment="1">
      <alignment/>
    </xf>
    <xf numFmtId="2" fontId="3" fillId="2" borderId="1" xfId="0" applyNumberFormat="1" applyFont="1" applyFill="1" applyBorder="1" applyAlignment="1">
      <alignment/>
    </xf>
    <xf numFmtId="164" fontId="14" fillId="2" borderId="31" xfId="0" applyNumberFormat="1" applyFont="1" applyFill="1" applyBorder="1" applyAlignment="1">
      <alignment horizontal="center"/>
    </xf>
    <xf numFmtId="164" fontId="14" fillId="2" borderId="32" xfId="0" applyNumberFormat="1" applyFont="1" applyFill="1" applyBorder="1" applyAlignment="1">
      <alignment horizontal="center"/>
    </xf>
    <xf numFmtId="164" fontId="14" fillId="2" borderId="33" xfId="0" applyNumberFormat="1" applyFont="1" applyFill="1" applyBorder="1" applyAlignment="1">
      <alignment horizontal="center"/>
    </xf>
    <xf numFmtId="164" fontId="14" fillId="2" borderId="34" xfId="0" applyNumberFormat="1" applyFont="1" applyFill="1" applyBorder="1" applyAlignment="1">
      <alignment horizontal="center"/>
    </xf>
    <xf numFmtId="164" fontId="14" fillId="2" borderId="18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9" fillId="0" borderId="0" xfId="0" applyFont="1" applyAlignment="1">
      <alignment horizontal="center"/>
    </xf>
    <xf numFmtId="0" fontId="0" fillId="3" borderId="38" xfId="0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40" xfId="0" applyBorder="1" applyAlignment="1">
      <alignment/>
    </xf>
    <xf numFmtId="0" fontId="4" fillId="3" borderId="15" xfId="0" applyFont="1" applyFill="1" applyBorder="1" applyAlignment="1">
      <alignment horizontal="center"/>
    </xf>
    <xf numFmtId="178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9" fillId="0" borderId="27" xfId="0" applyFont="1" applyBorder="1" applyAlignment="1">
      <alignment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2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28" fillId="0" borderId="0" xfId="0" applyFont="1" applyAlignment="1">
      <alignment horizontal="left"/>
    </xf>
    <xf numFmtId="0" fontId="9" fillId="6" borderId="1" xfId="0" applyFont="1" applyFill="1" applyBorder="1" applyAlignment="1" applyProtection="1">
      <alignment/>
      <protection locked="0"/>
    </xf>
    <xf numFmtId="0" fontId="9" fillId="6" borderId="0" xfId="0" applyFont="1" applyFill="1" applyAlignment="1" applyProtection="1">
      <alignment horizontal="left" indent="2"/>
      <protection locked="0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6" borderId="1" xfId="0" applyFont="1" applyFill="1" applyBorder="1" applyAlignment="1" applyProtection="1">
      <alignment/>
      <protection locked="0"/>
    </xf>
    <xf numFmtId="2" fontId="3" fillId="6" borderId="43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left" indent="2"/>
      <protection locked="0"/>
    </xf>
    <xf numFmtId="0" fontId="9" fillId="6" borderId="0" xfId="0" applyFont="1" applyFill="1" applyBorder="1" applyAlignment="1" applyProtection="1">
      <alignment/>
      <protection locked="0"/>
    </xf>
    <xf numFmtId="0" fontId="12" fillId="6" borderId="1" xfId="0" applyFont="1" applyFill="1" applyBorder="1" applyAlignment="1" applyProtection="1">
      <alignment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6" borderId="2" xfId="0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/>
      <protection locked="0"/>
    </xf>
    <xf numFmtId="2" fontId="0" fillId="6" borderId="10" xfId="0" applyNumberFormat="1" applyFill="1" applyBorder="1" applyAlignment="1" applyProtection="1">
      <alignment horizontal="center"/>
      <protection locked="0"/>
    </xf>
    <xf numFmtId="164" fontId="0" fillId="6" borderId="10" xfId="0" applyNumberForma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2" fontId="9" fillId="6" borderId="1" xfId="0" applyNumberFormat="1" applyFont="1" applyFill="1" applyBorder="1" applyAlignment="1" applyProtection="1">
      <alignment horizont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9" fillId="6" borderId="39" xfId="0" applyFont="1" applyFill="1" applyBorder="1" applyAlignment="1" applyProtection="1">
      <alignment/>
      <protection locked="0"/>
    </xf>
    <xf numFmtId="0" fontId="9" fillId="6" borderId="15" xfId="0" applyFont="1" applyFill="1" applyBorder="1" applyAlignment="1" applyProtection="1">
      <alignment/>
      <protection locked="0"/>
    </xf>
    <xf numFmtId="0" fontId="9" fillId="6" borderId="28" xfId="0" applyFont="1" applyFill="1" applyBorder="1" applyAlignment="1" applyProtection="1">
      <alignment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2" fontId="0" fillId="6" borderId="1" xfId="0" applyNumberFormat="1" applyFont="1" applyFill="1" applyBorder="1" applyAlignment="1" applyProtection="1">
      <alignment horizontal="center"/>
      <protection locked="0"/>
    </xf>
    <xf numFmtId="1" fontId="0" fillId="6" borderId="8" xfId="0" applyNumberFormat="1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9" fillId="6" borderId="17" xfId="0" applyFont="1" applyFill="1" applyBorder="1" applyAlignment="1" applyProtection="1">
      <alignment/>
      <protection locked="0"/>
    </xf>
    <xf numFmtId="0" fontId="0" fillId="6" borderId="0" xfId="0" applyFill="1" applyAlignment="1">
      <alignment/>
    </xf>
    <xf numFmtId="0" fontId="28" fillId="0" borderId="0" xfId="0" applyFont="1" applyAlignment="1">
      <alignment horizontal="left" indent="2"/>
    </xf>
    <xf numFmtId="0" fontId="4" fillId="0" borderId="2" xfId="0" applyFont="1" applyBorder="1" applyAlignment="1">
      <alignment horizontal="left"/>
    </xf>
    <xf numFmtId="0" fontId="0" fillId="6" borderId="15" xfId="0" applyFill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 horizontal="center" wrapText="1"/>
    </xf>
    <xf numFmtId="164" fontId="0" fillId="2" borderId="8" xfId="0" applyNumberForma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9" fillId="0" borderId="0" xfId="0" applyFont="1" applyFill="1" applyBorder="1" applyAlignment="1">
      <alignment horizontal="left" indent="2"/>
    </xf>
    <xf numFmtId="165" fontId="14" fillId="6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65" fontId="3" fillId="6" borderId="1" xfId="19" applyNumberFormat="1" applyFont="1" applyFill="1" applyBorder="1" applyAlignment="1" applyProtection="1">
      <alignment/>
      <protection locked="0"/>
    </xf>
    <xf numFmtId="1" fontId="14" fillId="2" borderId="0" xfId="0" applyNumberFormat="1" applyFont="1" applyFill="1" applyAlignment="1">
      <alignment/>
    </xf>
    <xf numFmtId="164" fontId="16" fillId="2" borderId="5" xfId="0" applyNumberFormat="1" applyFont="1" applyFill="1" applyBorder="1" applyAlignment="1">
      <alignment/>
    </xf>
    <xf numFmtId="164" fontId="16" fillId="2" borderId="47" xfId="0" applyNumberFormat="1" applyFont="1" applyFill="1" applyBorder="1" applyAlignment="1">
      <alignment/>
    </xf>
    <xf numFmtId="165" fontId="3" fillId="2" borderId="1" xfId="19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65" fontId="14" fillId="2" borderId="1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9" fillId="0" borderId="0" xfId="0" applyFont="1" applyBorder="1" applyAlignment="1">
      <alignment horizontal="left" indent="4"/>
    </xf>
    <xf numFmtId="0" fontId="9" fillId="0" borderId="0" xfId="0" applyFont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9" xfId="0" applyBorder="1" applyAlignment="1">
      <alignment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2" fontId="0" fillId="6" borderId="1" xfId="0" applyNumberFormat="1" applyFill="1" applyBorder="1" applyAlignment="1" applyProtection="1">
      <alignment horizontal="center"/>
      <protection locked="0"/>
    </xf>
    <xf numFmtId="0" fontId="0" fillId="7" borderId="4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6" fillId="6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/>
    </xf>
    <xf numFmtId="164" fontId="6" fillId="2" borderId="47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6" borderId="0" xfId="0" applyFont="1" applyFill="1" applyAlignment="1" applyProtection="1">
      <alignment horizontal="left" indent="1"/>
      <protection locked="0"/>
    </xf>
    <xf numFmtId="0" fontId="9" fillId="6" borderId="0" xfId="0" applyFont="1" applyFill="1" applyBorder="1" applyAlignment="1" applyProtection="1">
      <alignment horizontal="left" indent="1"/>
      <protection locked="0"/>
    </xf>
    <xf numFmtId="178" fontId="0" fillId="2" borderId="1" xfId="15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indent="2"/>
    </xf>
    <xf numFmtId="2" fontId="4" fillId="6" borderId="17" xfId="0" applyNumberFormat="1" applyFont="1" applyFill="1" applyBorder="1" applyAlignment="1" applyProtection="1">
      <alignment horizontal="center" vertical="center"/>
      <protection locked="0"/>
    </xf>
    <xf numFmtId="9" fontId="0" fillId="0" borderId="53" xfId="19" applyBorder="1" applyAlignment="1">
      <alignment horizontal="center"/>
    </xf>
    <xf numFmtId="0" fontId="25" fillId="0" borderId="0" xfId="0" applyFont="1" applyAlignment="1">
      <alignment horizontal="right"/>
    </xf>
    <xf numFmtId="2" fontId="0" fillId="2" borderId="1" xfId="0" applyNumberFormat="1" applyFill="1" applyBorder="1" applyAlignment="1" quotePrefix="1">
      <alignment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" xfId="0" applyBorder="1" applyAlignment="1" quotePrefix="1">
      <alignment horizont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9" fillId="0" borderId="0" xfId="0" applyFont="1" applyAlignment="1">
      <alignment horizontal="left" indent="2"/>
    </xf>
    <xf numFmtId="0" fontId="9" fillId="0" borderId="35" xfId="0" applyFont="1" applyBorder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9" fillId="0" borderId="35" xfId="0" applyFont="1" applyFill="1" applyBorder="1" applyAlignment="1">
      <alignment horizontal="left" indent="2"/>
    </xf>
    <xf numFmtId="0" fontId="9" fillId="6" borderId="0" xfId="0" applyFont="1" applyFill="1" applyAlignment="1" applyProtection="1">
      <alignment horizontal="left" indent="2"/>
      <protection locked="0"/>
    </xf>
    <xf numFmtId="0" fontId="9" fillId="6" borderId="35" xfId="0" applyFont="1" applyFill="1" applyBorder="1" applyAlignment="1" applyProtection="1">
      <alignment horizontal="left" indent="2"/>
      <protection locked="0"/>
    </xf>
    <xf numFmtId="0" fontId="11" fillId="0" borderId="4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24" xfId="0" applyFont="1" applyBorder="1" applyAlignment="1">
      <alignment horizontal="left" vertical="center" wrapText="1"/>
    </xf>
    <xf numFmtId="2" fontId="4" fillId="6" borderId="4" xfId="0" applyNumberFormat="1" applyFont="1" applyFill="1" applyBorder="1" applyAlignment="1" applyProtection="1">
      <alignment horizontal="center" vertical="center"/>
      <protection locked="0"/>
    </xf>
    <xf numFmtId="2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0" fontId="3" fillId="3" borderId="41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/>
    </xf>
    <xf numFmtId="0" fontId="3" fillId="3" borderId="62" xfId="0" applyFont="1" applyFill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6" borderId="68" xfId="0" applyFill="1" applyBorder="1" applyAlignment="1" applyProtection="1">
      <alignment horizontal="center"/>
      <protection locked="0"/>
    </xf>
    <xf numFmtId="0" fontId="0" fillId="6" borderId="69" xfId="0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9" fillId="3" borderId="65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2" fontId="9" fillId="2" borderId="71" xfId="0" applyNumberFormat="1" applyFont="1" applyFill="1" applyBorder="1" applyAlignment="1">
      <alignment horizontal="center"/>
    </xf>
    <xf numFmtId="2" fontId="9" fillId="2" borderId="69" xfId="0" applyNumberFormat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4" fillId="7" borderId="72" xfId="0" applyFont="1" applyFill="1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4" fillId="3" borderId="39" xfId="0" applyFont="1" applyFill="1" applyBorder="1" applyAlignment="1">
      <alignment horizontal="left" indent="1"/>
    </xf>
    <xf numFmtId="0" fontId="4" fillId="3" borderId="26" xfId="0" applyFont="1" applyFill="1" applyBorder="1" applyAlignment="1">
      <alignment horizontal="left" indent="1"/>
    </xf>
    <xf numFmtId="0" fontId="18" fillId="3" borderId="28" xfId="0" applyFont="1" applyFill="1" applyBorder="1" applyAlignment="1">
      <alignment horizontal="left" indent="1"/>
    </xf>
    <xf numFmtId="0" fontId="4" fillId="3" borderId="24" xfId="0" applyFont="1" applyFill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9" fontId="0" fillId="0" borderId="53" xfId="19" applyBorder="1" applyAlignment="1">
      <alignment horizontal="center"/>
    </xf>
    <xf numFmtId="9" fontId="0" fillId="0" borderId="74" xfId="19" applyBorder="1" applyAlignment="1">
      <alignment horizontal="center"/>
    </xf>
    <xf numFmtId="0" fontId="0" fillId="7" borderId="75" xfId="0" applyFill="1" applyBorder="1" applyAlignment="1">
      <alignment horizontal="center"/>
    </xf>
    <xf numFmtId="0" fontId="0" fillId="7" borderId="61" xfId="0" applyFill="1" applyBorder="1" applyAlignment="1">
      <alignment horizontal="center"/>
    </xf>
    <xf numFmtId="0" fontId="0" fillId="7" borderId="76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14" fillId="2" borderId="77" xfId="0" applyNumberFormat="1" applyFont="1" applyFill="1" applyBorder="1" applyAlignment="1">
      <alignment horizontal="center"/>
    </xf>
    <xf numFmtId="164" fontId="14" fillId="2" borderId="32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164" fontId="4" fillId="2" borderId="77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2" fontId="3" fillId="2" borderId="49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indent="1"/>
    </xf>
    <xf numFmtId="0" fontId="3" fillId="3" borderId="15" xfId="0" applyFont="1" applyFill="1" applyBorder="1" applyAlignment="1">
      <alignment horizontal="left" indent="1"/>
    </xf>
    <xf numFmtId="0" fontId="9" fillId="6" borderId="0" xfId="0" applyFont="1" applyFill="1" applyAlignment="1" applyProtection="1">
      <alignment horizontal="center"/>
      <protection locked="0"/>
    </xf>
    <xf numFmtId="0" fontId="9" fillId="6" borderId="35" xfId="0" applyFont="1" applyFill="1" applyBorder="1" applyAlignment="1" applyProtection="1">
      <alignment horizontal="center"/>
      <protection locked="0"/>
    </xf>
    <xf numFmtId="0" fontId="0" fillId="0" borderId="45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3" fillId="8" borderId="39" xfId="0" applyFont="1" applyFill="1" applyBorder="1" applyAlignment="1">
      <alignment horizontal="center" wrapText="1"/>
    </xf>
    <xf numFmtId="0" fontId="3" fillId="8" borderId="49" xfId="0" applyFont="1" applyFill="1" applyBorder="1" applyAlignment="1">
      <alignment horizontal="center" wrapText="1"/>
    </xf>
    <xf numFmtId="0" fontId="3" fillId="8" borderId="26" xfId="0" applyFont="1" applyFill="1" applyBorder="1" applyAlignment="1">
      <alignment horizontal="center" wrapText="1"/>
    </xf>
    <xf numFmtId="0" fontId="3" fillId="8" borderId="28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8" borderId="24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9" fillId="3" borderId="82" xfId="0" applyFont="1" applyFill="1" applyBorder="1" applyAlignment="1">
      <alignment horizontal="center"/>
    </xf>
    <xf numFmtId="0" fontId="9" fillId="3" borderId="83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2" fontId="9" fillId="2" borderId="13" xfId="0" applyNumberFormat="1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164" fontId="14" fillId="2" borderId="58" xfId="0" applyNumberFormat="1" applyFont="1" applyFill="1" applyBorder="1" applyAlignment="1">
      <alignment horizontal="center" vertical="center"/>
    </xf>
    <xf numFmtId="164" fontId="14" fillId="2" borderId="59" xfId="0" applyNumberFormat="1" applyFont="1" applyFill="1" applyBorder="1" applyAlignment="1">
      <alignment horizontal="center" vertical="center"/>
    </xf>
    <xf numFmtId="0" fontId="0" fillId="6" borderId="71" xfId="0" applyFill="1" applyBorder="1" applyAlignment="1" applyProtection="1">
      <alignment horizontal="center"/>
      <protection locked="0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8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0" fillId="0" borderId="35" xfId="0" applyBorder="1" applyAlignment="1">
      <alignment/>
    </xf>
    <xf numFmtId="164" fontId="0" fillId="6" borderId="13" xfId="0" applyNumberFormat="1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164" fontId="0" fillId="6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59</xdr:row>
      <xdr:rowOff>95250</xdr:rowOff>
    </xdr:from>
    <xdr:to>
      <xdr:col>4</xdr:col>
      <xdr:colOff>123825</xdr:colOff>
      <xdr:row>69</xdr:row>
      <xdr:rowOff>19050</xdr:rowOff>
    </xdr:to>
    <xdr:grpSp>
      <xdr:nvGrpSpPr>
        <xdr:cNvPr id="1" name="Group 35"/>
        <xdr:cNvGrpSpPr>
          <a:grpSpLocks/>
        </xdr:cNvGrpSpPr>
      </xdr:nvGrpSpPr>
      <xdr:grpSpPr>
        <a:xfrm>
          <a:off x="342900" y="12287250"/>
          <a:ext cx="4429125" cy="1781175"/>
          <a:chOff x="36" y="1305"/>
          <a:chExt cx="465" cy="187"/>
        </a:xfrm>
        <a:solidFill>
          <a:srgbClr val="FFFFFF"/>
        </a:solidFill>
      </xdr:grpSpPr>
      <xdr:grpSp>
        <xdr:nvGrpSpPr>
          <xdr:cNvPr id="2" name="Group 27"/>
          <xdr:cNvGrpSpPr>
            <a:grpSpLocks/>
          </xdr:cNvGrpSpPr>
        </xdr:nvGrpSpPr>
        <xdr:grpSpPr>
          <a:xfrm>
            <a:off x="36" y="1361"/>
            <a:ext cx="465" cy="131"/>
            <a:chOff x="56" y="1356"/>
            <a:chExt cx="452" cy="131"/>
          </a:xfrm>
          <a:solidFill>
            <a:srgbClr val="FFFFFF"/>
          </a:solidFill>
        </xdr:grpSpPr>
        <xdr:sp>
          <xdr:nvSpPr>
            <xdr:cNvPr id="3" name="Polygon 8"/>
            <xdr:cNvSpPr>
              <a:spLocks/>
            </xdr:cNvSpPr>
          </xdr:nvSpPr>
          <xdr:spPr>
            <a:xfrm>
              <a:off x="91" y="1356"/>
              <a:ext cx="396" cy="128"/>
            </a:xfrm>
            <a:custGeom>
              <a:pathLst>
                <a:path h="142" w="363">
                  <a:moveTo>
                    <a:pt x="5" y="140"/>
                  </a:moveTo>
                  <a:cubicBezTo>
                    <a:pt x="8" y="142"/>
                    <a:pt x="3" y="115"/>
                    <a:pt x="5" y="103"/>
                  </a:cubicBezTo>
                  <a:cubicBezTo>
                    <a:pt x="6" y="99"/>
                    <a:pt x="7" y="88"/>
                    <a:pt x="7" y="88"/>
                  </a:cubicBezTo>
                  <a:cubicBezTo>
                    <a:pt x="8" y="83"/>
                    <a:pt x="0" y="73"/>
                    <a:pt x="8" y="70"/>
                  </a:cubicBezTo>
                  <a:cubicBezTo>
                    <a:pt x="16" y="67"/>
                    <a:pt x="37" y="69"/>
                    <a:pt x="56" y="70"/>
                  </a:cubicBezTo>
                  <a:cubicBezTo>
                    <a:pt x="61" y="70"/>
                    <a:pt x="113" y="72"/>
                    <a:pt x="121" y="74"/>
                  </a:cubicBezTo>
                  <a:cubicBezTo>
                    <a:pt x="127" y="74"/>
                    <a:pt x="139" y="77"/>
                    <a:pt x="139" y="77"/>
                  </a:cubicBezTo>
                  <a:cubicBezTo>
                    <a:pt x="141" y="77"/>
                    <a:pt x="143" y="77"/>
                    <a:pt x="145" y="75"/>
                  </a:cubicBezTo>
                  <a:cubicBezTo>
                    <a:pt x="149" y="70"/>
                    <a:pt x="137" y="37"/>
                    <a:pt x="134" y="32"/>
                  </a:cubicBezTo>
                  <a:cubicBezTo>
                    <a:pt x="132" y="19"/>
                    <a:pt x="126" y="11"/>
                    <a:pt x="123" y="0"/>
                  </a:cubicBezTo>
                  <a:cubicBezTo>
                    <a:pt x="129" y="0"/>
                    <a:pt x="135" y="0"/>
                    <a:pt x="141" y="2"/>
                  </a:cubicBezTo>
                  <a:cubicBezTo>
                    <a:pt x="152" y="5"/>
                    <a:pt x="157" y="72"/>
                    <a:pt x="167" y="77"/>
                  </a:cubicBezTo>
                  <a:cubicBezTo>
                    <a:pt x="174" y="74"/>
                    <a:pt x="183" y="74"/>
                    <a:pt x="189" y="72"/>
                  </a:cubicBezTo>
                  <a:cubicBezTo>
                    <a:pt x="211" y="74"/>
                    <a:pt x="232" y="77"/>
                    <a:pt x="254" y="79"/>
                  </a:cubicBezTo>
                  <a:cubicBezTo>
                    <a:pt x="277" y="79"/>
                    <a:pt x="299" y="77"/>
                    <a:pt x="321" y="77"/>
                  </a:cubicBezTo>
                  <a:cubicBezTo>
                    <a:pt x="349" y="77"/>
                    <a:pt x="343" y="68"/>
                    <a:pt x="352" y="84"/>
                  </a:cubicBezTo>
                  <a:cubicBezTo>
                    <a:pt x="357" y="109"/>
                    <a:pt x="363" y="114"/>
                    <a:pt x="363" y="142"/>
                  </a:cubicBezTo>
                  <a:lnTo>
                    <a:pt x="6" y="14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9"/>
            <xdr:cNvSpPr>
              <a:spLocks/>
            </xdr:cNvSpPr>
          </xdr:nvSpPr>
          <xdr:spPr>
            <a:xfrm>
              <a:off x="127" y="1369"/>
              <a:ext cx="57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 A</a:t>
              </a:r>
            </a:p>
          </xdr:txBody>
        </xdr:sp>
        <xdr:sp>
          <xdr:nvSpPr>
            <xdr:cNvPr id="5" name="Rectangle 10"/>
            <xdr:cNvSpPr>
              <a:spLocks/>
            </xdr:cNvSpPr>
          </xdr:nvSpPr>
          <xdr:spPr>
            <a:xfrm>
              <a:off x="369" y="1395"/>
              <a:ext cx="56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 B</a:t>
              </a:r>
            </a:p>
          </xdr:txBody>
        </xdr:sp>
        <xdr:sp>
          <xdr:nvSpPr>
            <xdr:cNvPr id="6" name="Line 11"/>
            <xdr:cNvSpPr>
              <a:spLocks/>
            </xdr:cNvSpPr>
          </xdr:nvSpPr>
          <xdr:spPr>
            <a:xfrm flipH="1">
              <a:off x="251" y="1370"/>
              <a:ext cx="3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12"/>
            <xdr:cNvSpPr>
              <a:spLocks/>
            </xdr:cNvSpPr>
          </xdr:nvSpPr>
          <xdr:spPr>
            <a:xfrm>
              <a:off x="291" y="1360"/>
              <a:ext cx="98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RAISE</a:t>
              </a:r>
            </a:p>
          </xdr:txBody>
        </xdr:sp>
        <xdr:sp>
          <xdr:nvSpPr>
            <xdr:cNvPr id="8" name="Line 13"/>
            <xdr:cNvSpPr>
              <a:spLocks/>
            </xdr:cNvSpPr>
          </xdr:nvSpPr>
          <xdr:spPr>
            <a:xfrm>
              <a:off x="100" y="1454"/>
              <a:ext cx="384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14"/>
            <xdr:cNvSpPr>
              <a:spLocks noChangeAspect="1"/>
            </xdr:cNvSpPr>
          </xdr:nvSpPr>
          <xdr:spPr>
            <a:xfrm>
              <a:off x="56" y="1399"/>
              <a:ext cx="30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0" name="Oval 15"/>
            <xdr:cNvSpPr>
              <a:spLocks noChangeAspect="1"/>
            </xdr:cNvSpPr>
          </xdr:nvSpPr>
          <xdr:spPr>
            <a:xfrm>
              <a:off x="323" y="1395"/>
              <a:ext cx="30" cy="30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3</a:t>
              </a:r>
            </a:p>
          </xdr:txBody>
        </xdr:sp>
        <xdr:sp>
          <xdr:nvSpPr>
            <xdr:cNvPr id="11" name="Oval 16"/>
            <xdr:cNvSpPr>
              <a:spLocks noChangeAspect="1"/>
            </xdr:cNvSpPr>
          </xdr:nvSpPr>
          <xdr:spPr>
            <a:xfrm>
              <a:off x="65" y="1454"/>
              <a:ext cx="33" cy="33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4</a:t>
              </a:r>
            </a:p>
          </xdr:txBody>
        </xdr:sp>
        <xdr:sp>
          <xdr:nvSpPr>
            <xdr:cNvPr id="12" name="Oval 17"/>
            <xdr:cNvSpPr>
              <a:spLocks noChangeAspect="1"/>
            </xdr:cNvSpPr>
          </xdr:nvSpPr>
          <xdr:spPr>
            <a:xfrm>
              <a:off x="162" y="1391"/>
              <a:ext cx="27" cy="28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13" name="Polygon 18"/>
            <xdr:cNvSpPr>
              <a:spLocks/>
            </xdr:cNvSpPr>
          </xdr:nvSpPr>
          <xdr:spPr>
            <a:xfrm>
              <a:off x="96" y="1393"/>
              <a:ext cx="19" cy="27"/>
            </a:xfrm>
            <a:custGeom>
              <a:pathLst>
                <a:path h="25" w="15">
                  <a:moveTo>
                    <a:pt x="1" y="25"/>
                  </a:moveTo>
                  <a:lnTo>
                    <a:pt x="0" y="1"/>
                  </a:lnTo>
                  <a:lnTo>
                    <a:pt x="13" y="0"/>
                  </a:lnTo>
                  <a:lnTo>
                    <a:pt x="15" y="2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Polygon 19"/>
            <xdr:cNvSpPr>
              <a:spLocks/>
            </xdr:cNvSpPr>
          </xdr:nvSpPr>
          <xdr:spPr>
            <a:xfrm>
              <a:off x="453" y="1391"/>
              <a:ext cx="25" cy="35"/>
            </a:xfrm>
            <a:custGeom>
              <a:pathLst>
                <a:path h="27" w="21">
                  <a:moveTo>
                    <a:pt x="15" y="27"/>
                  </a:moveTo>
                  <a:lnTo>
                    <a:pt x="21" y="3"/>
                  </a:lnTo>
                  <a:lnTo>
                    <a:pt x="7" y="0"/>
                  </a:lnTo>
                  <a:lnTo>
                    <a:pt x="0" y="26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20"/>
            <xdr:cNvSpPr>
              <a:spLocks noChangeAspect="1"/>
            </xdr:cNvSpPr>
          </xdr:nvSpPr>
          <xdr:spPr>
            <a:xfrm>
              <a:off x="483" y="1389"/>
              <a:ext cx="25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6" name="Line 21"/>
            <xdr:cNvSpPr>
              <a:spLocks/>
            </xdr:cNvSpPr>
          </xdr:nvSpPr>
          <xdr:spPr>
            <a:xfrm>
              <a:off x="100" y="1392"/>
              <a:ext cx="1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22"/>
            <xdr:cNvSpPr>
              <a:spLocks/>
            </xdr:cNvSpPr>
          </xdr:nvSpPr>
          <xdr:spPr>
            <a:xfrm flipH="1" flipV="1">
              <a:off x="259" y="1392"/>
              <a:ext cx="2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23"/>
            <xdr:cNvSpPr>
              <a:spLocks noChangeAspect="1"/>
            </xdr:cNvSpPr>
          </xdr:nvSpPr>
          <xdr:spPr>
            <a:xfrm>
              <a:off x="479" y="1458"/>
              <a:ext cx="28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5</a:t>
              </a:r>
            </a:p>
          </xdr:txBody>
        </xdr:sp>
        <xdr:sp>
          <xdr:nvSpPr>
            <xdr:cNvPr id="19" name="Polygon 24"/>
            <xdr:cNvSpPr>
              <a:spLocks/>
            </xdr:cNvSpPr>
          </xdr:nvSpPr>
          <xdr:spPr>
            <a:xfrm>
              <a:off x="102" y="1455"/>
              <a:ext cx="18" cy="29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Polygon 25"/>
            <xdr:cNvSpPr>
              <a:spLocks/>
            </xdr:cNvSpPr>
          </xdr:nvSpPr>
          <xdr:spPr>
            <a:xfrm>
              <a:off x="459" y="1455"/>
              <a:ext cx="18" cy="29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TextBox 26"/>
          <xdr:cNvSpPr txBox="1">
            <a:spLocks noChangeArrowheads="1"/>
          </xdr:cNvSpPr>
        </xdr:nvSpPr>
        <xdr:spPr>
          <a:xfrm>
            <a:off x="79" y="1305"/>
            <a:ext cx="376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mining steps by Uppers</a:t>
            </a:r>
          </a:p>
        </xdr:txBody>
      </xdr:sp>
    </xdr:grpSp>
    <xdr:clientData/>
  </xdr:twoCellAnchor>
  <xdr:twoCellAnchor>
    <xdr:from>
      <xdr:col>6</xdr:col>
      <xdr:colOff>581025</xdr:colOff>
      <xdr:row>109</xdr:row>
      <xdr:rowOff>9525</xdr:rowOff>
    </xdr:from>
    <xdr:to>
      <xdr:col>9</xdr:col>
      <xdr:colOff>247650</xdr:colOff>
      <xdr:row>112</xdr:row>
      <xdr:rowOff>133350</xdr:rowOff>
    </xdr:to>
    <xdr:sp>
      <xdr:nvSpPr>
        <xdr:cNvPr id="22" name="AutoShape 32"/>
        <xdr:cNvSpPr>
          <a:spLocks/>
        </xdr:cNvSpPr>
      </xdr:nvSpPr>
      <xdr:spPr>
        <a:xfrm>
          <a:off x="7239000" y="22278975"/>
          <a:ext cx="2562225" cy="619125"/>
        </a:xfrm>
        <a:custGeom>
          <a:pathLst>
            <a:path h="48" w="274">
              <a:moveTo>
                <a:pt x="274" y="0"/>
              </a:moveTo>
              <a:cubicBezTo>
                <a:pt x="266" y="1"/>
                <a:pt x="265" y="7"/>
                <a:pt x="227" y="9"/>
              </a:cubicBezTo>
              <a:cubicBezTo>
                <a:pt x="189" y="11"/>
                <a:pt x="83" y="5"/>
                <a:pt x="46" y="11"/>
              </a:cubicBezTo>
              <a:cubicBezTo>
                <a:pt x="9" y="17"/>
                <a:pt x="0" y="36"/>
                <a:pt x="7" y="42"/>
              </a:cubicBezTo>
              <a:cubicBezTo>
                <a:pt x="14" y="48"/>
                <a:pt x="71" y="46"/>
                <a:pt x="88" y="47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63</xdr:row>
      <xdr:rowOff>0</xdr:rowOff>
    </xdr:from>
    <xdr:to>
      <xdr:col>12</xdr:col>
      <xdr:colOff>561975</xdr:colOff>
      <xdr:row>78</xdr:row>
      <xdr:rowOff>66675</xdr:rowOff>
    </xdr:to>
    <xdr:grpSp>
      <xdr:nvGrpSpPr>
        <xdr:cNvPr id="1" name="Group 94"/>
        <xdr:cNvGrpSpPr>
          <a:grpSpLocks/>
        </xdr:cNvGrpSpPr>
      </xdr:nvGrpSpPr>
      <xdr:grpSpPr>
        <a:xfrm>
          <a:off x="6991350" y="12944475"/>
          <a:ext cx="4495800" cy="2676525"/>
          <a:chOff x="767" y="1296"/>
          <a:chExt cx="468" cy="281"/>
        </a:xfrm>
        <a:solidFill>
          <a:srgbClr val="FFFFFF"/>
        </a:solidFill>
      </xdr:grpSpPr>
      <xdr:sp>
        <xdr:nvSpPr>
          <xdr:cNvPr id="2" name="AutoShape 48"/>
          <xdr:cNvSpPr>
            <a:spLocks/>
          </xdr:cNvSpPr>
        </xdr:nvSpPr>
        <xdr:spPr>
          <a:xfrm>
            <a:off x="839" y="1456"/>
            <a:ext cx="370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9"/>
          <xdr:cNvSpPr>
            <a:spLocks/>
          </xdr:cNvSpPr>
        </xdr:nvSpPr>
        <xdr:spPr>
          <a:xfrm>
            <a:off x="853" y="1409"/>
            <a:ext cx="356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0"/>
          <xdr:cNvSpPr>
            <a:spLocks/>
          </xdr:cNvSpPr>
        </xdr:nvSpPr>
        <xdr:spPr>
          <a:xfrm>
            <a:off x="851" y="1386"/>
            <a:ext cx="358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olygon 51"/>
          <xdr:cNvSpPr>
            <a:spLocks/>
          </xdr:cNvSpPr>
        </xdr:nvSpPr>
        <xdr:spPr>
          <a:xfrm>
            <a:off x="840" y="1381"/>
            <a:ext cx="16" cy="76"/>
          </a:xfrm>
          <a:custGeom>
            <a:pathLst>
              <a:path h="84" w="17">
                <a:moveTo>
                  <a:pt x="0" y="83"/>
                </a:moveTo>
                <a:lnTo>
                  <a:pt x="0" y="0"/>
                </a:lnTo>
                <a:lnTo>
                  <a:pt x="17" y="1"/>
                </a:lnTo>
                <a:lnTo>
                  <a:pt x="17" y="84"/>
                </a:lnTo>
                <a:lnTo>
                  <a:pt x="0" y="8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Polygon 52"/>
          <xdr:cNvSpPr>
            <a:spLocks/>
          </xdr:cNvSpPr>
        </xdr:nvSpPr>
        <xdr:spPr>
          <a:xfrm>
            <a:off x="840" y="1480"/>
            <a:ext cx="369" cy="68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3"/>
          <xdr:cNvSpPr>
            <a:spLocks/>
          </xdr:cNvSpPr>
        </xdr:nvSpPr>
        <xdr:spPr>
          <a:xfrm>
            <a:off x="817" y="1317"/>
            <a:ext cx="62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8" name="Line 54"/>
          <xdr:cNvSpPr>
            <a:spLocks/>
          </xdr:cNvSpPr>
        </xdr:nvSpPr>
        <xdr:spPr>
          <a:xfrm>
            <a:off x="839" y="1495"/>
            <a:ext cx="36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55"/>
          <xdr:cNvSpPr>
            <a:spLocks noChangeAspect="1"/>
          </xdr:cNvSpPr>
        </xdr:nvSpPr>
        <xdr:spPr>
          <a:xfrm>
            <a:off x="814" y="1433"/>
            <a:ext cx="29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0" name="Oval 56"/>
          <xdr:cNvSpPr>
            <a:spLocks noChangeAspect="1"/>
          </xdr:cNvSpPr>
        </xdr:nvSpPr>
        <xdr:spPr>
          <a:xfrm>
            <a:off x="983" y="1431"/>
            <a:ext cx="25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" name="Oval 57"/>
          <xdr:cNvSpPr>
            <a:spLocks noChangeAspect="1"/>
          </xdr:cNvSpPr>
        </xdr:nvSpPr>
        <xdr:spPr>
          <a:xfrm>
            <a:off x="1209" y="1471"/>
            <a:ext cx="26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2" name="Oval 58"/>
          <xdr:cNvSpPr>
            <a:spLocks noChangeAspect="1"/>
          </xdr:cNvSpPr>
        </xdr:nvSpPr>
        <xdr:spPr>
          <a:xfrm>
            <a:off x="948" y="1456"/>
            <a:ext cx="23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3" name="Oval 59"/>
          <xdr:cNvSpPr>
            <a:spLocks noChangeAspect="1"/>
          </xdr:cNvSpPr>
        </xdr:nvSpPr>
        <xdr:spPr>
          <a:xfrm>
            <a:off x="1208" y="1441"/>
            <a:ext cx="26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4" name="Polygon 60"/>
          <xdr:cNvSpPr>
            <a:spLocks/>
          </xdr:cNvSpPr>
        </xdr:nvSpPr>
        <xdr:spPr>
          <a:xfrm>
            <a:off x="1187" y="1493"/>
            <a:ext cx="18" cy="56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Polygon 61"/>
          <xdr:cNvSpPr>
            <a:spLocks/>
          </xdr:cNvSpPr>
        </xdr:nvSpPr>
        <xdr:spPr>
          <a:xfrm>
            <a:off x="787" y="1466"/>
            <a:ext cx="55" cy="15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62"/>
          <xdr:cNvSpPr>
            <a:spLocks/>
          </xdr:cNvSpPr>
        </xdr:nvSpPr>
        <xdr:spPr>
          <a:xfrm>
            <a:off x="856" y="1432"/>
            <a:ext cx="353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Polygon 63"/>
          <xdr:cNvSpPr>
            <a:spLocks/>
          </xdr:cNvSpPr>
        </xdr:nvSpPr>
        <xdr:spPr>
          <a:xfrm>
            <a:off x="787" y="1371"/>
            <a:ext cx="55" cy="15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4"/>
          <xdr:cNvSpPr>
            <a:spLocks/>
          </xdr:cNvSpPr>
        </xdr:nvSpPr>
        <xdr:spPr>
          <a:xfrm>
            <a:off x="839" y="143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5"/>
          <xdr:cNvSpPr>
            <a:spLocks/>
          </xdr:cNvSpPr>
        </xdr:nvSpPr>
        <xdr:spPr>
          <a:xfrm>
            <a:off x="839" y="1408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Polygon 66"/>
          <xdr:cNvSpPr>
            <a:spLocks/>
          </xdr:cNvSpPr>
        </xdr:nvSpPr>
        <xdr:spPr>
          <a:xfrm>
            <a:off x="1187" y="1389"/>
            <a:ext cx="18" cy="29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Polygon 67"/>
          <xdr:cNvSpPr>
            <a:spLocks/>
          </xdr:cNvSpPr>
        </xdr:nvSpPr>
        <xdr:spPr>
          <a:xfrm>
            <a:off x="1187" y="1462"/>
            <a:ext cx="18" cy="30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68"/>
          <xdr:cNvSpPr>
            <a:spLocks noChangeAspect="1"/>
          </xdr:cNvSpPr>
        </xdr:nvSpPr>
        <xdr:spPr>
          <a:xfrm>
            <a:off x="814" y="1407"/>
            <a:ext cx="27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23" name="Oval 69"/>
          <xdr:cNvSpPr>
            <a:spLocks noChangeAspect="1"/>
          </xdr:cNvSpPr>
        </xdr:nvSpPr>
        <xdr:spPr>
          <a:xfrm>
            <a:off x="815" y="1381"/>
            <a:ext cx="25" cy="2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4" name="Polygon 70"/>
          <xdr:cNvSpPr>
            <a:spLocks/>
          </xdr:cNvSpPr>
        </xdr:nvSpPr>
        <xdr:spPr>
          <a:xfrm>
            <a:off x="1187" y="1438"/>
            <a:ext cx="18" cy="26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71"/>
          <xdr:cNvSpPr>
            <a:spLocks noChangeAspect="1"/>
          </xdr:cNvSpPr>
        </xdr:nvSpPr>
        <xdr:spPr>
          <a:xfrm>
            <a:off x="1020" y="1406"/>
            <a:ext cx="28" cy="2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6" name="Polygon 72"/>
          <xdr:cNvSpPr>
            <a:spLocks/>
          </xdr:cNvSpPr>
        </xdr:nvSpPr>
        <xdr:spPr>
          <a:xfrm>
            <a:off x="1187" y="1414"/>
            <a:ext cx="18" cy="24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73"/>
          <xdr:cNvSpPr>
            <a:spLocks noChangeAspect="1"/>
          </xdr:cNvSpPr>
        </xdr:nvSpPr>
        <xdr:spPr>
          <a:xfrm>
            <a:off x="1205" y="1412"/>
            <a:ext cx="27" cy="2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28" name="Oval 74"/>
          <xdr:cNvSpPr>
            <a:spLocks noChangeAspect="1"/>
          </xdr:cNvSpPr>
        </xdr:nvSpPr>
        <xdr:spPr>
          <a:xfrm>
            <a:off x="1053" y="1380"/>
            <a:ext cx="31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9" name="Oval 75"/>
          <xdr:cNvSpPr>
            <a:spLocks noChangeAspect="1"/>
          </xdr:cNvSpPr>
        </xdr:nvSpPr>
        <xdr:spPr>
          <a:xfrm>
            <a:off x="1205" y="1381"/>
            <a:ext cx="30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30" name="Line 76"/>
          <xdr:cNvSpPr>
            <a:spLocks/>
          </xdr:cNvSpPr>
        </xdr:nvSpPr>
        <xdr:spPr>
          <a:xfrm flipH="1">
            <a:off x="789" y="1327"/>
            <a:ext cx="2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77"/>
          <xdr:cNvSpPr txBox="1">
            <a:spLocks noChangeArrowheads="1"/>
          </xdr:cNvSpPr>
        </xdr:nvSpPr>
        <xdr:spPr>
          <a:xfrm>
            <a:off x="869" y="1500"/>
            <a:ext cx="289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level of broken ore before step 1</a:t>
            </a:r>
          </a:p>
        </xdr:txBody>
      </xdr:sp>
      <xdr:sp>
        <xdr:nvSpPr>
          <xdr:cNvPr id="32" name="TextBox 78"/>
          <xdr:cNvSpPr txBox="1">
            <a:spLocks noChangeArrowheads="1"/>
          </xdr:cNvSpPr>
        </xdr:nvSpPr>
        <xdr:spPr>
          <a:xfrm>
            <a:off x="899" y="1296"/>
            <a:ext cx="295" cy="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Raise outside the stope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(Breasts)</a:t>
            </a:r>
          </a:p>
        </xdr:txBody>
      </xdr:sp>
      <xdr:sp>
        <xdr:nvSpPr>
          <xdr:cNvPr id="33" name="Polygon 79"/>
          <xdr:cNvSpPr>
            <a:spLocks/>
          </xdr:cNvSpPr>
        </xdr:nvSpPr>
        <xdr:spPr>
          <a:xfrm>
            <a:off x="767" y="1309"/>
            <a:ext cx="21" cy="268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266700</xdr:colOff>
      <xdr:row>63</xdr:row>
      <xdr:rowOff>142875</xdr:rowOff>
    </xdr:from>
    <xdr:to>
      <xdr:col>5</xdr:col>
      <xdr:colOff>219075</xdr:colOff>
      <xdr:row>76</xdr:row>
      <xdr:rowOff>85725</xdr:rowOff>
    </xdr:to>
    <xdr:grpSp>
      <xdr:nvGrpSpPr>
        <xdr:cNvPr id="34" name="Group 96"/>
        <xdr:cNvGrpSpPr>
          <a:grpSpLocks/>
        </xdr:cNvGrpSpPr>
      </xdr:nvGrpSpPr>
      <xdr:grpSpPr>
        <a:xfrm>
          <a:off x="266700" y="13087350"/>
          <a:ext cx="5057775" cy="2228850"/>
          <a:chOff x="28" y="1370"/>
          <a:chExt cx="531" cy="234"/>
        </a:xfrm>
        <a:solidFill>
          <a:srgbClr val="FFFFFF"/>
        </a:solidFill>
      </xdr:grpSpPr>
      <xdr:sp>
        <xdr:nvSpPr>
          <xdr:cNvPr id="35" name="Rectangle 30"/>
          <xdr:cNvSpPr>
            <a:spLocks noChangeAspect="1"/>
          </xdr:cNvSpPr>
        </xdr:nvSpPr>
        <xdr:spPr>
          <a:xfrm>
            <a:off x="66" y="1500"/>
            <a:ext cx="459" cy="3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1"/>
          <xdr:cNvSpPr>
            <a:spLocks noChangeAspect="1"/>
          </xdr:cNvSpPr>
        </xdr:nvSpPr>
        <xdr:spPr>
          <a:xfrm>
            <a:off x="66" y="1530"/>
            <a:ext cx="459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2"/>
          <xdr:cNvSpPr>
            <a:spLocks noChangeAspect="1"/>
          </xdr:cNvSpPr>
        </xdr:nvSpPr>
        <xdr:spPr>
          <a:xfrm>
            <a:off x="123" y="1501"/>
            <a:ext cx="52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A</a:t>
            </a:r>
          </a:p>
        </xdr:txBody>
      </xdr:sp>
      <xdr:sp>
        <xdr:nvSpPr>
          <xdr:cNvPr id="38" name="Rectangle 33"/>
          <xdr:cNvSpPr>
            <a:spLocks noChangeAspect="1"/>
          </xdr:cNvSpPr>
        </xdr:nvSpPr>
        <xdr:spPr>
          <a:xfrm>
            <a:off x="424" y="1477"/>
            <a:ext cx="45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B</a:t>
            </a:r>
          </a:p>
        </xdr:txBody>
      </xdr:sp>
      <xdr:sp>
        <xdr:nvSpPr>
          <xdr:cNvPr id="39" name="Line 34"/>
          <xdr:cNvSpPr>
            <a:spLocks noChangeAspect="1"/>
          </xdr:cNvSpPr>
        </xdr:nvSpPr>
        <xdr:spPr>
          <a:xfrm flipH="1">
            <a:off x="280" y="1447"/>
            <a:ext cx="75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5"/>
          <xdr:cNvSpPr>
            <a:spLocks noChangeAspect="1"/>
          </xdr:cNvSpPr>
        </xdr:nvSpPr>
        <xdr:spPr>
          <a:xfrm>
            <a:off x="356" y="1450"/>
            <a:ext cx="5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41" name="Line 36"/>
          <xdr:cNvSpPr>
            <a:spLocks noChangeAspect="1"/>
          </xdr:cNvSpPr>
        </xdr:nvSpPr>
        <xdr:spPr>
          <a:xfrm>
            <a:off x="69" y="1563"/>
            <a:ext cx="45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7"/>
          <xdr:cNvSpPr>
            <a:spLocks noChangeAspect="1"/>
          </xdr:cNvSpPr>
        </xdr:nvSpPr>
        <xdr:spPr>
          <a:xfrm>
            <a:off x="216" y="1497"/>
            <a:ext cx="34" cy="3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3" name="Oval 38"/>
          <xdr:cNvSpPr>
            <a:spLocks noChangeAspect="1"/>
          </xdr:cNvSpPr>
        </xdr:nvSpPr>
        <xdr:spPr>
          <a:xfrm>
            <a:off x="360" y="1495"/>
            <a:ext cx="29" cy="3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44" name="Oval 39"/>
          <xdr:cNvSpPr>
            <a:spLocks noChangeAspect="1"/>
          </xdr:cNvSpPr>
        </xdr:nvSpPr>
        <xdr:spPr>
          <a:xfrm>
            <a:off x="520" y="1521"/>
            <a:ext cx="39" cy="39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45" name="Oval 40"/>
          <xdr:cNvSpPr>
            <a:spLocks noChangeAspect="1"/>
          </xdr:cNvSpPr>
        </xdr:nvSpPr>
        <xdr:spPr>
          <a:xfrm>
            <a:off x="28" y="1527"/>
            <a:ext cx="37" cy="3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46" name="Polygon 41"/>
          <xdr:cNvSpPr>
            <a:spLocks noChangeAspect="1"/>
          </xdr:cNvSpPr>
        </xdr:nvSpPr>
        <xdr:spPr>
          <a:xfrm>
            <a:off x="72" y="1564"/>
            <a:ext cx="21" cy="3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Polygon 42"/>
          <xdr:cNvSpPr>
            <a:spLocks noChangeAspect="1"/>
          </xdr:cNvSpPr>
        </xdr:nvSpPr>
        <xdr:spPr>
          <a:xfrm>
            <a:off x="496" y="1564"/>
            <a:ext cx="22" cy="3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43"/>
          <xdr:cNvSpPr txBox="1">
            <a:spLocks noChangeAspect="1" noChangeArrowheads="1"/>
          </xdr:cNvSpPr>
        </xdr:nvSpPr>
        <xdr:spPr>
          <a:xfrm>
            <a:off x="93" y="1370"/>
            <a:ext cx="352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Typical mining steps by Breasts</a:t>
            </a:r>
          </a:p>
        </xdr:txBody>
      </xdr:sp>
      <xdr:sp>
        <xdr:nvSpPr>
          <xdr:cNvPr id="49" name="Polygon 44"/>
          <xdr:cNvSpPr>
            <a:spLocks noChangeAspect="1"/>
          </xdr:cNvSpPr>
        </xdr:nvSpPr>
        <xdr:spPr>
          <a:xfrm>
            <a:off x="247" y="1432"/>
            <a:ext cx="57" cy="98"/>
          </a:xfrm>
          <a:custGeom>
            <a:pathLst>
              <a:path h="72" w="37">
                <a:moveTo>
                  <a:pt x="0" y="0"/>
                </a:moveTo>
                <a:lnTo>
                  <a:pt x="17" y="0"/>
                </a:lnTo>
                <a:lnTo>
                  <a:pt x="37" y="72"/>
                </a:lnTo>
                <a:lnTo>
                  <a:pt x="21" y="7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Polygon 45"/>
          <xdr:cNvSpPr>
            <a:spLocks noChangeAspect="1"/>
          </xdr:cNvSpPr>
        </xdr:nvSpPr>
        <xdr:spPr>
          <a:xfrm>
            <a:off x="496" y="1529"/>
            <a:ext cx="22" cy="3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Polygon 46"/>
          <xdr:cNvSpPr>
            <a:spLocks noChangeAspect="1"/>
          </xdr:cNvSpPr>
        </xdr:nvSpPr>
        <xdr:spPr>
          <a:xfrm>
            <a:off x="72" y="1527"/>
            <a:ext cx="21" cy="3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180</xdr:row>
      <xdr:rowOff>114300</xdr:rowOff>
    </xdr:from>
    <xdr:to>
      <xdr:col>10</xdr:col>
      <xdr:colOff>609600</xdr:colOff>
      <xdr:row>181</xdr:row>
      <xdr:rowOff>190500</xdr:rowOff>
    </xdr:to>
    <xdr:sp>
      <xdr:nvSpPr>
        <xdr:cNvPr id="52" name="AutoShape 95"/>
        <xdr:cNvSpPr>
          <a:spLocks/>
        </xdr:cNvSpPr>
      </xdr:nvSpPr>
      <xdr:spPr>
        <a:xfrm>
          <a:off x="9372600" y="35794950"/>
          <a:ext cx="695325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38100</xdr:rowOff>
    </xdr:from>
    <xdr:to>
      <xdr:col>6</xdr:col>
      <xdr:colOff>571500</xdr:colOff>
      <xdr:row>80</xdr:row>
      <xdr:rowOff>19050</xdr:rowOff>
    </xdr:to>
    <xdr:grpSp>
      <xdr:nvGrpSpPr>
        <xdr:cNvPr id="1" name="Group 115"/>
        <xdr:cNvGrpSpPr>
          <a:grpSpLocks/>
        </xdr:cNvGrpSpPr>
      </xdr:nvGrpSpPr>
      <xdr:grpSpPr>
        <a:xfrm>
          <a:off x="0" y="10791825"/>
          <a:ext cx="5143500" cy="2247900"/>
          <a:chOff x="0" y="1133"/>
          <a:chExt cx="540" cy="236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40" y="1262"/>
            <a:ext cx="469" cy="3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 noChangeAspect="1"/>
          </xdr:cNvSpPr>
        </xdr:nvSpPr>
        <xdr:spPr>
          <a:xfrm>
            <a:off x="40" y="1293"/>
            <a:ext cx="469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 noChangeAspect="1"/>
          </xdr:cNvSpPr>
        </xdr:nvSpPr>
        <xdr:spPr>
          <a:xfrm>
            <a:off x="120" y="1242"/>
            <a:ext cx="4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A</a:t>
            </a:r>
          </a:p>
        </xdr:txBody>
      </xdr:sp>
      <xdr:sp>
        <xdr:nvSpPr>
          <xdr:cNvPr id="5" name="Rectangle 5"/>
          <xdr:cNvSpPr>
            <a:spLocks noChangeAspect="1"/>
          </xdr:cNvSpPr>
        </xdr:nvSpPr>
        <xdr:spPr>
          <a:xfrm>
            <a:off x="415" y="1242"/>
            <a:ext cx="4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B</a:t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 flipH="1">
            <a:off x="252" y="1207"/>
            <a:ext cx="78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 noChangeAspect="1"/>
          </xdr:cNvSpPr>
        </xdr:nvSpPr>
        <xdr:spPr>
          <a:xfrm>
            <a:off x="328" y="1202"/>
            <a:ext cx="47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43" y="1327"/>
            <a:ext cx="4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 noChangeAspect="1"/>
          </xdr:cNvSpPr>
        </xdr:nvSpPr>
        <xdr:spPr>
          <a:xfrm>
            <a:off x="196" y="1259"/>
            <a:ext cx="37" cy="3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0" name="Oval 10"/>
          <xdr:cNvSpPr>
            <a:spLocks noChangeAspect="1"/>
          </xdr:cNvSpPr>
        </xdr:nvSpPr>
        <xdr:spPr>
          <a:xfrm>
            <a:off x="336" y="1257"/>
            <a:ext cx="36" cy="39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1" name="Oval 11"/>
          <xdr:cNvSpPr>
            <a:spLocks noChangeAspect="1"/>
          </xdr:cNvSpPr>
        </xdr:nvSpPr>
        <xdr:spPr>
          <a:xfrm>
            <a:off x="503" y="1283"/>
            <a:ext cx="37" cy="4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2" name="Oval 12"/>
          <xdr:cNvSpPr>
            <a:spLocks noChangeAspect="1"/>
          </xdr:cNvSpPr>
        </xdr:nvSpPr>
        <xdr:spPr>
          <a:xfrm>
            <a:off x="0" y="1290"/>
            <a:ext cx="38" cy="3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3" name="Polygon 13"/>
          <xdr:cNvSpPr>
            <a:spLocks noChangeAspect="1"/>
          </xdr:cNvSpPr>
        </xdr:nvSpPr>
        <xdr:spPr>
          <a:xfrm>
            <a:off x="46" y="1328"/>
            <a:ext cx="22" cy="3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Polygon 14"/>
          <xdr:cNvSpPr>
            <a:spLocks noChangeAspect="1"/>
          </xdr:cNvSpPr>
        </xdr:nvSpPr>
        <xdr:spPr>
          <a:xfrm>
            <a:off x="479" y="1328"/>
            <a:ext cx="22" cy="3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spect="1" noChangeArrowheads="1"/>
          </xdr:cNvSpPr>
        </xdr:nvSpPr>
        <xdr:spPr>
          <a:xfrm>
            <a:off x="111" y="1133"/>
            <a:ext cx="336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Typical mining steps by Breasts </a:t>
            </a:r>
          </a:p>
        </xdr:txBody>
      </xdr:sp>
      <xdr:sp>
        <xdr:nvSpPr>
          <xdr:cNvPr id="16" name="Polygon 16"/>
          <xdr:cNvSpPr>
            <a:spLocks noChangeAspect="1"/>
          </xdr:cNvSpPr>
        </xdr:nvSpPr>
        <xdr:spPr>
          <a:xfrm>
            <a:off x="223" y="1192"/>
            <a:ext cx="47" cy="101"/>
          </a:xfrm>
          <a:custGeom>
            <a:pathLst>
              <a:path h="72" w="37">
                <a:moveTo>
                  <a:pt x="0" y="0"/>
                </a:moveTo>
                <a:lnTo>
                  <a:pt x="17" y="0"/>
                </a:lnTo>
                <a:lnTo>
                  <a:pt x="37" y="72"/>
                </a:lnTo>
                <a:lnTo>
                  <a:pt x="21" y="7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Polygon 17"/>
          <xdr:cNvSpPr>
            <a:spLocks noChangeAspect="1"/>
          </xdr:cNvSpPr>
        </xdr:nvSpPr>
        <xdr:spPr>
          <a:xfrm>
            <a:off x="479" y="1292"/>
            <a:ext cx="22" cy="3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Polygon 18"/>
          <xdr:cNvSpPr>
            <a:spLocks noChangeAspect="1"/>
          </xdr:cNvSpPr>
        </xdr:nvSpPr>
        <xdr:spPr>
          <a:xfrm>
            <a:off x="46" y="1290"/>
            <a:ext cx="22" cy="3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6</xdr:col>
      <xdr:colOff>238125</xdr:colOff>
      <xdr:row>37</xdr:row>
      <xdr:rowOff>66675</xdr:rowOff>
    </xdr:to>
    <xdr:grpSp>
      <xdr:nvGrpSpPr>
        <xdr:cNvPr id="19" name="Group 113"/>
        <xdr:cNvGrpSpPr>
          <a:grpSpLocks/>
        </xdr:cNvGrpSpPr>
      </xdr:nvGrpSpPr>
      <xdr:grpSpPr>
        <a:xfrm>
          <a:off x="419100" y="3333750"/>
          <a:ext cx="4391025" cy="2781300"/>
          <a:chOff x="44" y="350"/>
          <a:chExt cx="461" cy="292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113" y="521"/>
            <a:ext cx="357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127" y="474"/>
            <a:ext cx="343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25" y="451"/>
            <a:ext cx="345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Polygon 23"/>
          <xdr:cNvSpPr>
            <a:spLocks/>
          </xdr:cNvSpPr>
        </xdr:nvSpPr>
        <xdr:spPr>
          <a:xfrm>
            <a:off x="114" y="446"/>
            <a:ext cx="16" cy="76"/>
          </a:xfrm>
          <a:custGeom>
            <a:pathLst>
              <a:path h="84" w="17">
                <a:moveTo>
                  <a:pt x="0" y="83"/>
                </a:moveTo>
                <a:lnTo>
                  <a:pt x="0" y="0"/>
                </a:lnTo>
                <a:lnTo>
                  <a:pt x="17" y="1"/>
                </a:lnTo>
                <a:lnTo>
                  <a:pt x="17" y="84"/>
                </a:lnTo>
                <a:lnTo>
                  <a:pt x="0" y="8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Polygon 24"/>
          <xdr:cNvSpPr>
            <a:spLocks/>
          </xdr:cNvSpPr>
        </xdr:nvSpPr>
        <xdr:spPr>
          <a:xfrm>
            <a:off x="114" y="545"/>
            <a:ext cx="356" cy="68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92" y="382"/>
            <a:ext cx="6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13" y="560"/>
            <a:ext cx="35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27"/>
          <xdr:cNvSpPr>
            <a:spLocks noChangeAspect="1"/>
          </xdr:cNvSpPr>
        </xdr:nvSpPr>
        <xdr:spPr>
          <a:xfrm>
            <a:off x="90" y="498"/>
            <a:ext cx="27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252" y="496"/>
            <a:ext cx="24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470" y="536"/>
            <a:ext cx="25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0" name="Oval 30"/>
          <xdr:cNvSpPr>
            <a:spLocks noChangeAspect="1"/>
          </xdr:cNvSpPr>
        </xdr:nvSpPr>
        <xdr:spPr>
          <a:xfrm>
            <a:off x="218" y="521"/>
            <a:ext cx="23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1" name="Oval 31"/>
          <xdr:cNvSpPr>
            <a:spLocks noChangeAspect="1"/>
          </xdr:cNvSpPr>
        </xdr:nvSpPr>
        <xdr:spPr>
          <a:xfrm>
            <a:off x="468" y="506"/>
            <a:ext cx="26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32" name="Polygon 32"/>
          <xdr:cNvSpPr>
            <a:spLocks/>
          </xdr:cNvSpPr>
        </xdr:nvSpPr>
        <xdr:spPr>
          <a:xfrm>
            <a:off x="449" y="558"/>
            <a:ext cx="17" cy="56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Polygon 33"/>
          <xdr:cNvSpPr>
            <a:spLocks/>
          </xdr:cNvSpPr>
        </xdr:nvSpPr>
        <xdr:spPr>
          <a:xfrm>
            <a:off x="63" y="531"/>
            <a:ext cx="53" cy="15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130" y="497"/>
            <a:ext cx="340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Polygon 35"/>
          <xdr:cNvSpPr>
            <a:spLocks/>
          </xdr:cNvSpPr>
        </xdr:nvSpPr>
        <xdr:spPr>
          <a:xfrm>
            <a:off x="63" y="436"/>
            <a:ext cx="53" cy="15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13" y="496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113" y="47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Polygon 38"/>
          <xdr:cNvSpPr>
            <a:spLocks/>
          </xdr:cNvSpPr>
        </xdr:nvSpPr>
        <xdr:spPr>
          <a:xfrm>
            <a:off x="449" y="454"/>
            <a:ext cx="17" cy="29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Polygon 39"/>
          <xdr:cNvSpPr>
            <a:spLocks/>
          </xdr:cNvSpPr>
        </xdr:nvSpPr>
        <xdr:spPr>
          <a:xfrm>
            <a:off x="449" y="527"/>
            <a:ext cx="17" cy="30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0"/>
          <xdr:cNvSpPr>
            <a:spLocks noChangeAspect="1"/>
          </xdr:cNvSpPr>
        </xdr:nvSpPr>
        <xdr:spPr>
          <a:xfrm>
            <a:off x="89" y="472"/>
            <a:ext cx="26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41" name="Oval 41"/>
          <xdr:cNvSpPr>
            <a:spLocks noChangeAspect="1"/>
          </xdr:cNvSpPr>
        </xdr:nvSpPr>
        <xdr:spPr>
          <a:xfrm>
            <a:off x="91" y="446"/>
            <a:ext cx="23" cy="2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42" name="Polygon 42"/>
          <xdr:cNvSpPr>
            <a:spLocks/>
          </xdr:cNvSpPr>
        </xdr:nvSpPr>
        <xdr:spPr>
          <a:xfrm>
            <a:off x="449" y="503"/>
            <a:ext cx="17" cy="26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288" y="471"/>
            <a:ext cx="27" cy="2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44" name="Polygon 44"/>
          <xdr:cNvSpPr>
            <a:spLocks/>
          </xdr:cNvSpPr>
        </xdr:nvSpPr>
        <xdr:spPr>
          <a:xfrm>
            <a:off x="449" y="479"/>
            <a:ext cx="17" cy="24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45"/>
          <xdr:cNvSpPr>
            <a:spLocks noChangeAspect="1"/>
          </xdr:cNvSpPr>
        </xdr:nvSpPr>
        <xdr:spPr>
          <a:xfrm>
            <a:off x="466" y="477"/>
            <a:ext cx="26" cy="2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46" name="Oval 46"/>
          <xdr:cNvSpPr>
            <a:spLocks noChangeAspect="1"/>
          </xdr:cNvSpPr>
        </xdr:nvSpPr>
        <xdr:spPr>
          <a:xfrm>
            <a:off x="320" y="445"/>
            <a:ext cx="30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47" name="Oval 47"/>
          <xdr:cNvSpPr>
            <a:spLocks noChangeAspect="1"/>
          </xdr:cNvSpPr>
        </xdr:nvSpPr>
        <xdr:spPr>
          <a:xfrm>
            <a:off x="466" y="446"/>
            <a:ext cx="29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H="1">
            <a:off x="65" y="392"/>
            <a:ext cx="2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42" y="565"/>
            <a:ext cx="28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level of broken ore before step 1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213" y="350"/>
            <a:ext cx="292" cy="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Raise outside the stope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(Breasts)</a:t>
            </a:r>
          </a:p>
        </xdr:txBody>
      </xdr:sp>
      <xdr:sp>
        <xdr:nvSpPr>
          <xdr:cNvPr id="51" name="Polygon 51"/>
          <xdr:cNvSpPr>
            <a:spLocks/>
          </xdr:cNvSpPr>
        </xdr:nvSpPr>
        <xdr:spPr>
          <a:xfrm>
            <a:off x="44" y="374"/>
            <a:ext cx="20" cy="268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4</xdr:row>
      <xdr:rowOff>123825</xdr:rowOff>
    </xdr:from>
    <xdr:to>
      <xdr:col>5</xdr:col>
      <xdr:colOff>704850</xdr:colOff>
      <xdr:row>15</xdr:row>
      <xdr:rowOff>114300</xdr:rowOff>
    </xdr:to>
    <xdr:grpSp>
      <xdr:nvGrpSpPr>
        <xdr:cNvPr id="52" name="Group 114"/>
        <xdr:cNvGrpSpPr>
          <a:grpSpLocks/>
        </xdr:cNvGrpSpPr>
      </xdr:nvGrpSpPr>
      <xdr:grpSpPr>
        <a:xfrm>
          <a:off x="209550" y="819150"/>
          <a:ext cx="4305300" cy="1771650"/>
          <a:chOff x="22" y="86"/>
          <a:chExt cx="452" cy="186"/>
        </a:xfrm>
        <a:solidFill>
          <a:srgbClr val="FFFFFF"/>
        </a:solidFill>
      </xdr:grpSpPr>
      <xdr:grpSp>
        <xdr:nvGrpSpPr>
          <xdr:cNvPr id="53" name="Group 53"/>
          <xdr:cNvGrpSpPr>
            <a:grpSpLocks/>
          </xdr:cNvGrpSpPr>
        </xdr:nvGrpSpPr>
        <xdr:grpSpPr>
          <a:xfrm>
            <a:off x="22" y="141"/>
            <a:ext cx="452" cy="131"/>
            <a:chOff x="56" y="1356"/>
            <a:chExt cx="452" cy="131"/>
          </a:xfrm>
          <a:solidFill>
            <a:srgbClr val="FFFFFF"/>
          </a:solidFill>
        </xdr:grpSpPr>
        <xdr:sp>
          <xdr:nvSpPr>
            <xdr:cNvPr id="54" name="Polygon 54"/>
            <xdr:cNvSpPr>
              <a:spLocks/>
            </xdr:cNvSpPr>
          </xdr:nvSpPr>
          <xdr:spPr>
            <a:xfrm>
              <a:off x="91" y="1356"/>
              <a:ext cx="396" cy="128"/>
            </a:xfrm>
            <a:custGeom>
              <a:pathLst>
                <a:path h="142" w="363">
                  <a:moveTo>
                    <a:pt x="5" y="140"/>
                  </a:moveTo>
                  <a:cubicBezTo>
                    <a:pt x="8" y="142"/>
                    <a:pt x="3" y="115"/>
                    <a:pt x="5" y="103"/>
                  </a:cubicBezTo>
                  <a:cubicBezTo>
                    <a:pt x="6" y="99"/>
                    <a:pt x="7" y="88"/>
                    <a:pt x="7" y="88"/>
                  </a:cubicBezTo>
                  <a:cubicBezTo>
                    <a:pt x="8" y="83"/>
                    <a:pt x="0" y="73"/>
                    <a:pt x="8" y="70"/>
                  </a:cubicBezTo>
                  <a:cubicBezTo>
                    <a:pt x="16" y="67"/>
                    <a:pt x="37" y="69"/>
                    <a:pt x="56" y="70"/>
                  </a:cubicBezTo>
                  <a:cubicBezTo>
                    <a:pt x="61" y="70"/>
                    <a:pt x="113" y="72"/>
                    <a:pt x="121" y="74"/>
                  </a:cubicBezTo>
                  <a:cubicBezTo>
                    <a:pt x="127" y="74"/>
                    <a:pt x="139" y="77"/>
                    <a:pt x="139" y="77"/>
                  </a:cubicBezTo>
                  <a:cubicBezTo>
                    <a:pt x="141" y="77"/>
                    <a:pt x="143" y="77"/>
                    <a:pt x="145" y="75"/>
                  </a:cubicBezTo>
                  <a:cubicBezTo>
                    <a:pt x="149" y="70"/>
                    <a:pt x="137" y="37"/>
                    <a:pt x="134" y="32"/>
                  </a:cubicBezTo>
                  <a:cubicBezTo>
                    <a:pt x="132" y="19"/>
                    <a:pt x="126" y="11"/>
                    <a:pt x="123" y="0"/>
                  </a:cubicBezTo>
                  <a:cubicBezTo>
                    <a:pt x="129" y="0"/>
                    <a:pt x="135" y="0"/>
                    <a:pt x="141" y="2"/>
                  </a:cubicBezTo>
                  <a:cubicBezTo>
                    <a:pt x="152" y="5"/>
                    <a:pt x="157" y="72"/>
                    <a:pt x="167" y="77"/>
                  </a:cubicBezTo>
                  <a:cubicBezTo>
                    <a:pt x="174" y="74"/>
                    <a:pt x="183" y="74"/>
                    <a:pt x="189" y="72"/>
                  </a:cubicBezTo>
                  <a:cubicBezTo>
                    <a:pt x="211" y="74"/>
                    <a:pt x="232" y="77"/>
                    <a:pt x="254" y="79"/>
                  </a:cubicBezTo>
                  <a:cubicBezTo>
                    <a:pt x="277" y="79"/>
                    <a:pt x="299" y="77"/>
                    <a:pt x="321" y="77"/>
                  </a:cubicBezTo>
                  <a:cubicBezTo>
                    <a:pt x="349" y="77"/>
                    <a:pt x="343" y="68"/>
                    <a:pt x="352" y="84"/>
                  </a:cubicBezTo>
                  <a:cubicBezTo>
                    <a:pt x="357" y="109"/>
                    <a:pt x="363" y="114"/>
                    <a:pt x="363" y="142"/>
                  </a:cubicBezTo>
                  <a:lnTo>
                    <a:pt x="6" y="14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55"/>
            <xdr:cNvSpPr>
              <a:spLocks/>
            </xdr:cNvSpPr>
          </xdr:nvSpPr>
          <xdr:spPr>
            <a:xfrm>
              <a:off x="127" y="1369"/>
              <a:ext cx="57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 A</a:t>
              </a:r>
            </a:p>
          </xdr:txBody>
        </xdr:sp>
        <xdr:sp>
          <xdr:nvSpPr>
            <xdr:cNvPr id="56" name="Rectangle 56"/>
            <xdr:cNvSpPr>
              <a:spLocks/>
            </xdr:cNvSpPr>
          </xdr:nvSpPr>
          <xdr:spPr>
            <a:xfrm>
              <a:off x="369" y="1395"/>
              <a:ext cx="56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 B</a:t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 flipH="1">
              <a:off x="251" y="1370"/>
              <a:ext cx="3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58"/>
            <xdr:cNvSpPr>
              <a:spLocks/>
            </xdr:cNvSpPr>
          </xdr:nvSpPr>
          <xdr:spPr>
            <a:xfrm>
              <a:off x="291" y="1360"/>
              <a:ext cx="98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RAISE</a:t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>
              <a:off x="100" y="1454"/>
              <a:ext cx="384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Oval 60"/>
            <xdr:cNvSpPr>
              <a:spLocks noChangeAspect="1"/>
            </xdr:cNvSpPr>
          </xdr:nvSpPr>
          <xdr:spPr>
            <a:xfrm>
              <a:off x="56" y="1399"/>
              <a:ext cx="30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61" name="Oval 61"/>
            <xdr:cNvSpPr>
              <a:spLocks noChangeAspect="1"/>
            </xdr:cNvSpPr>
          </xdr:nvSpPr>
          <xdr:spPr>
            <a:xfrm>
              <a:off x="323" y="1395"/>
              <a:ext cx="30" cy="30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3</a:t>
              </a:r>
            </a:p>
          </xdr:txBody>
        </xdr:sp>
        <xdr:sp>
          <xdr:nvSpPr>
            <xdr:cNvPr id="62" name="Oval 62"/>
            <xdr:cNvSpPr>
              <a:spLocks noChangeAspect="1"/>
            </xdr:cNvSpPr>
          </xdr:nvSpPr>
          <xdr:spPr>
            <a:xfrm>
              <a:off x="65" y="1454"/>
              <a:ext cx="33" cy="33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4</a:t>
              </a:r>
            </a:p>
          </xdr:txBody>
        </xdr:sp>
        <xdr:sp>
          <xdr:nvSpPr>
            <xdr:cNvPr id="63" name="Oval 63"/>
            <xdr:cNvSpPr>
              <a:spLocks noChangeAspect="1"/>
            </xdr:cNvSpPr>
          </xdr:nvSpPr>
          <xdr:spPr>
            <a:xfrm>
              <a:off x="162" y="1391"/>
              <a:ext cx="27" cy="28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4" name="Polygon 64"/>
            <xdr:cNvSpPr>
              <a:spLocks/>
            </xdr:cNvSpPr>
          </xdr:nvSpPr>
          <xdr:spPr>
            <a:xfrm>
              <a:off x="96" y="1393"/>
              <a:ext cx="19" cy="27"/>
            </a:xfrm>
            <a:custGeom>
              <a:pathLst>
                <a:path h="25" w="15">
                  <a:moveTo>
                    <a:pt x="1" y="25"/>
                  </a:moveTo>
                  <a:lnTo>
                    <a:pt x="0" y="1"/>
                  </a:lnTo>
                  <a:lnTo>
                    <a:pt x="13" y="0"/>
                  </a:lnTo>
                  <a:lnTo>
                    <a:pt x="15" y="2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Polygon 65"/>
            <xdr:cNvSpPr>
              <a:spLocks/>
            </xdr:cNvSpPr>
          </xdr:nvSpPr>
          <xdr:spPr>
            <a:xfrm>
              <a:off x="453" y="1391"/>
              <a:ext cx="25" cy="35"/>
            </a:xfrm>
            <a:custGeom>
              <a:pathLst>
                <a:path h="27" w="21">
                  <a:moveTo>
                    <a:pt x="15" y="27"/>
                  </a:moveTo>
                  <a:lnTo>
                    <a:pt x="21" y="3"/>
                  </a:lnTo>
                  <a:lnTo>
                    <a:pt x="7" y="0"/>
                  </a:lnTo>
                  <a:lnTo>
                    <a:pt x="0" y="26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Oval 66"/>
            <xdr:cNvSpPr>
              <a:spLocks noChangeAspect="1"/>
            </xdr:cNvSpPr>
          </xdr:nvSpPr>
          <xdr:spPr>
            <a:xfrm>
              <a:off x="483" y="1389"/>
              <a:ext cx="25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100" y="1392"/>
              <a:ext cx="1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68"/>
            <xdr:cNvSpPr>
              <a:spLocks/>
            </xdr:cNvSpPr>
          </xdr:nvSpPr>
          <xdr:spPr>
            <a:xfrm flipH="1" flipV="1">
              <a:off x="259" y="1392"/>
              <a:ext cx="2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Oval 69"/>
            <xdr:cNvSpPr>
              <a:spLocks noChangeAspect="1"/>
            </xdr:cNvSpPr>
          </xdr:nvSpPr>
          <xdr:spPr>
            <a:xfrm>
              <a:off x="479" y="1458"/>
              <a:ext cx="28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5</a:t>
              </a:r>
            </a:p>
          </xdr:txBody>
        </xdr:sp>
        <xdr:sp>
          <xdr:nvSpPr>
            <xdr:cNvPr id="70" name="Polygon 70"/>
            <xdr:cNvSpPr>
              <a:spLocks/>
            </xdr:cNvSpPr>
          </xdr:nvSpPr>
          <xdr:spPr>
            <a:xfrm>
              <a:off x="102" y="1455"/>
              <a:ext cx="18" cy="29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Polygon 71"/>
            <xdr:cNvSpPr>
              <a:spLocks/>
            </xdr:cNvSpPr>
          </xdr:nvSpPr>
          <xdr:spPr>
            <a:xfrm>
              <a:off x="459" y="1455"/>
              <a:ext cx="18" cy="29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" name="TextBox 72"/>
          <xdr:cNvSpPr txBox="1">
            <a:spLocks noChangeArrowheads="1"/>
          </xdr:cNvSpPr>
        </xdr:nvSpPr>
        <xdr:spPr>
          <a:xfrm>
            <a:off x="79" y="86"/>
            <a:ext cx="363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Typical mining steps by Uppers</a:t>
            </a:r>
          </a:p>
        </xdr:txBody>
      </xdr:sp>
    </xdr:grpSp>
    <xdr:clientData/>
  </xdr:twoCellAnchor>
  <xdr:twoCellAnchor>
    <xdr:from>
      <xdr:col>0</xdr:col>
      <xdr:colOff>657225</xdr:colOff>
      <xdr:row>42</xdr:row>
      <xdr:rowOff>123825</xdr:rowOff>
    </xdr:from>
    <xdr:to>
      <xdr:col>5</xdr:col>
      <xdr:colOff>352425</xdr:colOff>
      <xdr:row>63</xdr:row>
      <xdr:rowOff>28575</xdr:rowOff>
    </xdr:to>
    <xdr:grpSp>
      <xdr:nvGrpSpPr>
        <xdr:cNvPr id="73" name="Group 112"/>
        <xdr:cNvGrpSpPr>
          <a:grpSpLocks/>
        </xdr:cNvGrpSpPr>
      </xdr:nvGrpSpPr>
      <xdr:grpSpPr>
        <a:xfrm>
          <a:off x="657225" y="6981825"/>
          <a:ext cx="3505200" cy="3305175"/>
          <a:chOff x="69" y="733"/>
          <a:chExt cx="368" cy="347"/>
        </a:xfrm>
        <a:solidFill>
          <a:srgbClr val="FFFFFF"/>
        </a:solidFill>
      </xdr:grpSpPr>
      <xdr:sp>
        <xdr:nvSpPr>
          <xdr:cNvPr id="74" name="Polygon 74"/>
          <xdr:cNvSpPr>
            <a:spLocks/>
          </xdr:cNvSpPr>
        </xdr:nvSpPr>
        <xdr:spPr>
          <a:xfrm>
            <a:off x="70" y="975"/>
            <a:ext cx="367" cy="67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289" y="821"/>
            <a:ext cx="8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69" y="990"/>
            <a:ext cx="3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258" y="92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8" name="AutoShape 78"/>
          <xdr:cNvSpPr>
            <a:spLocks/>
          </xdr:cNvSpPr>
        </xdr:nvSpPr>
        <xdr:spPr>
          <a:xfrm>
            <a:off x="70" y="953"/>
            <a:ext cx="366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H="1">
            <a:off x="255" y="832"/>
            <a:ext cx="33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TextBox 80"/>
          <xdr:cNvSpPr txBox="1">
            <a:spLocks noChangeArrowheads="1"/>
          </xdr:cNvSpPr>
        </xdr:nvSpPr>
        <xdr:spPr>
          <a:xfrm>
            <a:off x="100" y="995"/>
            <a:ext cx="308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level of broken ore before step 1</a:t>
            </a:r>
          </a:p>
        </xdr:txBody>
      </xdr:sp>
      <xdr:sp>
        <xdr:nvSpPr>
          <xdr:cNvPr id="81" name="TextBox 81"/>
          <xdr:cNvSpPr txBox="1">
            <a:spLocks noChangeArrowheads="1"/>
          </xdr:cNvSpPr>
        </xdr:nvSpPr>
        <xdr:spPr>
          <a:xfrm>
            <a:off x="144" y="733"/>
            <a:ext cx="207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Central raise 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(Breasts)</a:t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255" y="95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207" y="95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Polygon 84"/>
          <xdr:cNvSpPr>
            <a:spLocks/>
          </xdr:cNvSpPr>
        </xdr:nvSpPr>
        <xdr:spPr>
          <a:xfrm>
            <a:off x="234" y="807"/>
            <a:ext cx="21" cy="168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208" y="927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180" y="95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282" y="95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88"/>
          <xdr:cNvSpPr>
            <a:spLocks noChangeAspect="1"/>
          </xdr:cNvSpPr>
        </xdr:nvSpPr>
        <xdr:spPr>
          <a:xfrm>
            <a:off x="181" y="92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287" y="92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71" y="1055"/>
            <a:ext cx="3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Box 91"/>
          <xdr:cNvSpPr txBox="1">
            <a:spLocks noChangeArrowheads="1"/>
          </xdr:cNvSpPr>
        </xdr:nvSpPr>
        <xdr:spPr>
          <a:xfrm>
            <a:off x="165" y="1059"/>
            <a:ext cx="20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approximately 50 m in length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4"/>
  <sheetViews>
    <sheetView tabSelected="1" zoomScale="66" zoomScaleNormal="66" workbookViewId="0" topLeftCell="C102">
      <selection activeCell="I113" sqref="I113:K113"/>
    </sheetView>
  </sheetViews>
  <sheetFormatPr defaultColWidth="9.140625" defaultRowHeight="12.75"/>
  <cols>
    <col min="1" max="1" width="26.57421875" style="0" customWidth="1"/>
    <col min="2" max="2" width="15.421875" style="0" customWidth="1"/>
    <col min="3" max="3" width="14.8515625" style="0" customWidth="1"/>
    <col min="4" max="4" width="12.8515625" style="0" customWidth="1"/>
    <col min="5" max="5" width="14.28125" style="0" customWidth="1"/>
    <col min="6" max="6" width="15.8515625" style="0" customWidth="1"/>
    <col min="7" max="7" width="14.7109375" style="0" customWidth="1"/>
    <col min="8" max="8" width="16.421875" style="0" customWidth="1"/>
    <col min="9" max="9" width="12.28125" style="0" customWidth="1"/>
    <col min="10" max="10" width="11.7109375" style="0" customWidth="1"/>
    <col min="11" max="11" width="15.140625" style="0" customWidth="1"/>
    <col min="12" max="12" width="11.421875" style="0" customWidth="1"/>
    <col min="13" max="13" width="11.140625" style="0" customWidth="1"/>
    <col min="14" max="14" width="9.57421875" style="0" customWidth="1"/>
    <col min="15" max="15" width="11.00390625" style="0" customWidth="1"/>
    <col min="16" max="16384" width="11.421875" style="0" customWidth="1"/>
  </cols>
  <sheetData>
    <row r="2" ht="36.75">
      <c r="A2" s="1" t="s">
        <v>100</v>
      </c>
    </row>
    <row r="3" spans="1:2" ht="36.75">
      <c r="A3" s="1" t="s">
        <v>101</v>
      </c>
      <c r="B3" s="1"/>
    </row>
    <row r="4" spans="1:9" ht="21" customHeight="1" thickBot="1">
      <c r="A4" s="1"/>
      <c r="B4" s="1"/>
      <c r="H4" s="24"/>
      <c r="I4" s="24" t="s">
        <v>274</v>
      </c>
    </row>
    <row r="5" spans="1:11" ht="13.5" thickTop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2" ht="22.5" customHeight="1">
      <c r="A8" s="56" t="s">
        <v>90</v>
      </c>
      <c r="B8" s="22"/>
    </row>
    <row r="9" spans="1:2" ht="9.75" customHeight="1" thickBot="1">
      <c r="A9" s="22"/>
      <c r="B9" s="22"/>
    </row>
    <row r="10" spans="1:11" ht="18" customHeight="1">
      <c r="A10" s="22"/>
      <c r="B10" s="22"/>
      <c r="C10" s="277" t="s">
        <v>64</v>
      </c>
      <c r="D10" s="279" t="s">
        <v>119</v>
      </c>
      <c r="E10" s="281" t="s">
        <v>120</v>
      </c>
      <c r="H10" s="283" t="s">
        <v>5</v>
      </c>
      <c r="I10" s="284"/>
      <c r="J10" s="284"/>
      <c r="K10" s="285"/>
    </row>
    <row r="11" spans="1:11" ht="11.25" customHeight="1" thickBot="1">
      <c r="A11" s="22"/>
      <c r="B11" s="22"/>
      <c r="C11" s="278"/>
      <c r="D11" s="280"/>
      <c r="E11" s="282"/>
      <c r="H11" s="286"/>
      <c r="I11" s="287"/>
      <c r="J11" s="287"/>
      <c r="K11" s="288"/>
    </row>
    <row r="12" spans="1:11" ht="15" customHeight="1">
      <c r="A12" s="26" t="s">
        <v>60</v>
      </c>
      <c r="B12" s="26"/>
      <c r="C12" s="187">
        <v>2</v>
      </c>
      <c r="D12" s="187">
        <v>10</v>
      </c>
      <c r="E12" s="27">
        <f>+D12*C12</f>
        <v>20</v>
      </c>
      <c r="H12" s="174"/>
      <c r="I12" s="175"/>
      <c r="J12" s="175"/>
      <c r="K12" s="176"/>
    </row>
    <row r="13" spans="1:11" ht="15" customHeight="1">
      <c r="A13" s="26" t="s">
        <v>92</v>
      </c>
      <c r="B13" s="26"/>
      <c r="C13" s="187">
        <v>2</v>
      </c>
      <c r="D13" s="187">
        <v>2</v>
      </c>
      <c r="E13" s="27">
        <f>+D13*C13</f>
        <v>4</v>
      </c>
      <c r="H13" s="177" t="s">
        <v>103</v>
      </c>
      <c r="I13" s="178"/>
      <c r="J13" s="178"/>
      <c r="K13" s="179"/>
    </row>
    <row r="14" spans="1:11" ht="15" customHeight="1">
      <c r="A14" s="26" t="s">
        <v>93</v>
      </c>
      <c r="B14" s="26"/>
      <c r="C14" s="187">
        <v>1</v>
      </c>
      <c r="D14" s="187">
        <v>10</v>
      </c>
      <c r="E14" s="27">
        <f aca="true" t="shared" si="0" ref="E14:E20">+D14*C14</f>
        <v>10</v>
      </c>
      <c r="F14" s="4"/>
      <c r="H14" s="177"/>
      <c r="I14" s="178"/>
      <c r="J14" s="178"/>
      <c r="K14" s="179"/>
    </row>
    <row r="15" spans="1:11" ht="15" customHeight="1">
      <c r="A15" s="26" t="s">
        <v>61</v>
      </c>
      <c r="B15" s="26"/>
      <c r="C15" s="187">
        <v>2</v>
      </c>
      <c r="D15" s="187">
        <v>10</v>
      </c>
      <c r="E15" s="27">
        <f t="shared" si="0"/>
        <v>20</v>
      </c>
      <c r="H15" s="177" t="s">
        <v>147</v>
      </c>
      <c r="I15" s="178"/>
      <c r="J15" s="178"/>
      <c r="K15" s="179"/>
    </row>
    <row r="16" spans="1:11" ht="15" customHeight="1">
      <c r="A16" s="26" t="s">
        <v>62</v>
      </c>
      <c r="B16" s="26"/>
      <c r="C16" s="187">
        <v>1</v>
      </c>
      <c r="D16" s="187">
        <v>15</v>
      </c>
      <c r="E16" s="27">
        <f t="shared" si="0"/>
        <v>15</v>
      </c>
      <c r="H16" s="177"/>
      <c r="I16" s="178"/>
      <c r="J16" s="178"/>
      <c r="K16" s="179"/>
    </row>
    <row r="17" spans="1:11" ht="15" customHeight="1">
      <c r="A17" s="26" t="s">
        <v>63</v>
      </c>
      <c r="B17" s="26"/>
      <c r="C17" s="187">
        <v>1</v>
      </c>
      <c r="D17" s="187">
        <v>10</v>
      </c>
      <c r="E17" s="27">
        <f t="shared" si="0"/>
        <v>10</v>
      </c>
      <c r="H17" s="177"/>
      <c r="I17" s="178"/>
      <c r="J17" s="178"/>
      <c r="K17" s="179"/>
    </row>
    <row r="18" spans="1:11" ht="15" customHeight="1">
      <c r="A18" s="26" t="s">
        <v>98</v>
      </c>
      <c r="B18" s="26"/>
      <c r="C18" s="187">
        <v>1</v>
      </c>
      <c r="D18" s="187">
        <v>12</v>
      </c>
      <c r="E18" s="27">
        <f t="shared" si="0"/>
        <v>12</v>
      </c>
      <c r="H18" s="177"/>
      <c r="I18" s="178"/>
      <c r="J18" s="178"/>
      <c r="K18" s="179"/>
    </row>
    <row r="19" spans="1:11" ht="15" customHeight="1">
      <c r="A19" s="26" t="s">
        <v>0</v>
      </c>
      <c r="B19" s="26"/>
      <c r="C19" s="187">
        <v>1</v>
      </c>
      <c r="D19" s="187">
        <v>30</v>
      </c>
      <c r="E19" s="27">
        <f t="shared" si="0"/>
        <v>30</v>
      </c>
      <c r="H19" s="177"/>
      <c r="I19" s="178"/>
      <c r="J19" s="178"/>
      <c r="K19" s="179"/>
    </row>
    <row r="20" spans="1:11" ht="15" customHeight="1" thickBot="1">
      <c r="A20" s="188" t="s">
        <v>86</v>
      </c>
      <c r="B20" s="188"/>
      <c r="C20" s="187">
        <v>1</v>
      </c>
      <c r="D20" s="187">
        <v>10</v>
      </c>
      <c r="E20" s="28">
        <f t="shared" si="0"/>
        <v>10</v>
      </c>
      <c r="H20" s="177"/>
      <c r="I20" s="178"/>
      <c r="J20" s="178"/>
      <c r="K20" s="179"/>
    </row>
    <row r="21" spans="1:11" ht="15.75" thickBot="1">
      <c r="A21" s="23"/>
      <c r="B21" s="23"/>
      <c r="C21" s="23"/>
      <c r="D21" s="23"/>
      <c r="E21" s="29">
        <f>SUM(E12:E20)</f>
        <v>131</v>
      </c>
      <c r="F21" s="24" t="s">
        <v>6</v>
      </c>
      <c r="H21" s="180"/>
      <c r="I21" s="181"/>
      <c r="J21" s="181"/>
      <c r="K21" s="182"/>
    </row>
    <row r="22" spans="1:6" ht="14.25">
      <c r="A22" s="23"/>
      <c r="B22" s="23"/>
      <c r="C22" s="23"/>
      <c r="D22" s="23"/>
      <c r="E22" s="30">
        <f>+E21/60</f>
        <v>2.183333333333333</v>
      </c>
      <c r="F22" s="24" t="s">
        <v>20</v>
      </c>
    </row>
    <row r="23" spans="1:11" ht="15" thickBot="1">
      <c r="A23" s="98"/>
      <c r="B23" s="98"/>
      <c r="C23" s="98"/>
      <c r="D23" s="98"/>
      <c r="E23" s="98"/>
      <c r="F23" s="13"/>
      <c r="G23" s="13"/>
      <c r="H23" s="13"/>
      <c r="I23" s="13"/>
      <c r="J23" s="13"/>
      <c r="K23" s="13"/>
    </row>
    <row r="24" spans="1:4" ht="12.75">
      <c r="A24" s="5"/>
      <c r="B24" s="5"/>
      <c r="C24" s="5"/>
      <c r="D24" s="5"/>
    </row>
    <row r="25" spans="1:5" ht="26.25" customHeight="1">
      <c r="A25" s="56" t="s">
        <v>106</v>
      </c>
      <c r="B25" s="22"/>
      <c r="C25" s="5"/>
      <c r="D25" s="5"/>
      <c r="E25" s="5"/>
    </row>
    <row r="26" spans="1:5" ht="15" customHeight="1" thickBot="1">
      <c r="A26" s="22"/>
      <c r="B26" s="22"/>
      <c r="C26" s="5"/>
      <c r="D26" s="5"/>
      <c r="E26" s="5"/>
    </row>
    <row r="27" spans="1:11" ht="15.75" customHeight="1">
      <c r="A27" s="21" t="s">
        <v>18</v>
      </c>
      <c r="C27" s="277" t="s">
        <v>64</v>
      </c>
      <c r="D27" s="279" t="s">
        <v>119</v>
      </c>
      <c r="E27" s="281" t="s">
        <v>120</v>
      </c>
      <c r="G27" s="216" t="s">
        <v>118</v>
      </c>
      <c r="H27" s="22"/>
      <c r="I27" s="277" t="s">
        <v>64</v>
      </c>
      <c r="J27" s="279" t="s">
        <v>119</v>
      </c>
      <c r="K27" s="281" t="s">
        <v>120</v>
      </c>
    </row>
    <row r="28" spans="1:11" ht="15.75" customHeight="1" thickBot="1">
      <c r="A28" s="21" t="s">
        <v>1</v>
      </c>
      <c r="C28" s="278"/>
      <c r="D28" s="280"/>
      <c r="E28" s="282"/>
      <c r="G28" s="189" t="s">
        <v>35</v>
      </c>
      <c r="H28" s="33"/>
      <c r="I28" s="278"/>
      <c r="J28" s="280"/>
      <c r="K28" s="282"/>
    </row>
    <row r="29" spans="1:12" ht="15.75" customHeight="1">
      <c r="A29" s="26" t="s">
        <v>121</v>
      </c>
      <c r="B29" s="24"/>
      <c r="C29" s="187">
        <v>1</v>
      </c>
      <c r="D29" s="187">
        <v>10</v>
      </c>
      <c r="E29" s="27">
        <f>+D29*C29</f>
        <v>10</v>
      </c>
      <c r="F29" s="24"/>
      <c r="G29" s="171" t="s">
        <v>65</v>
      </c>
      <c r="H29" s="26"/>
      <c r="I29" s="187">
        <v>1</v>
      </c>
      <c r="J29" s="187">
        <v>5</v>
      </c>
      <c r="K29" s="27">
        <f aca="true" t="shared" si="1" ref="K29:K35">+J29*I29</f>
        <v>5</v>
      </c>
      <c r="L29" s="24"/>
    </row>
    <row r="30" spans="1:12" ht="15.75" customHeight="1">
      <c r="A30" s="26" t="s">
        <v>122</v>
      </c>
      <c r="B30" s="24"/>
      <c r="C30" s="187"/>
      <c r="D30" s="187"/>
      <c r="E30" s="27">
        <f>+D30*C30</f>
        <v>0</v>
      </c>
      <c r="F30" s="24"/>
      <c r="G30" s="171" t="s">
        <v>97</v>
      </c>
      <c r="H30" s="26"/>
      <c r="I30" s="187">
        <v>1</v>
      </c>
      <c r="J30" s="187">
        <v>6</v>
      </c>
      <c r="K30" s="27">
        <f t="shared" si="1"/>
        <v>6</v>
      </c>
      <c r="L30" s="24"/>
    </row>
    <row r="31" spans="1:12" ht="15.75" customHeight="1">
      <c r="A31" s="26" t="s">
        <v>96</v>
      </c>
      <c r="C31" s="187">
        <v>1</v>
      </c>
      <c r="D31" s="187">
        <v>5</v>
      </c>
      <c r="E31" s="27">
        <f>+D31*C31</f>
        <v>5</v>
      </c>
      <c r="F31" s="24"/>
      <c r="G31" s="171" t="s">
        <v>95</v>
      </c>
      <c r="H31" s="26"/>
      <c r="I31" s="187">
        <f>+I30</f>
        <v>1</v>
      </c>
      <c r="J31" s="187">
        <v>5</v>
      </c>
      <c r="K31" s="27">
        <f t="shared" si="1"/>
        <v>5</v>
      </c>
      <c r="L31" s="24"/>
    </row>
    <row r="32" spans="1:11" ht="15.75" customHeight="1" thickBot="1">
      <c r="A32" s="193"/>
      <c r="B32" s="194"/>
      <c r="C32" s="187"/>
      <c r="D32" s="187"/>
      <c r="E32" s="27">
        <f>+D32*C32</f>
        <v>0</v>
      </c>
      <c r="F32" s="24"/>
      <c r="G32" s="171" t="s">
        <v>131</v>
      </c>
      <c r="H32" s="26"/>
      <c r="I32" s="187"/>
      <c r="J32" s="187"/>
      <c r="K32" s="27">
        <f t="shared" si="1"/>
        <v>0</v>
      </c>
    </row>
    <row r="33" spans="1:11" ht="15.75" customHeight="1" thickBot="1">
      <c r="A33" s="31"/>
      <c r="B33" s="24"/>
      <c r="C33" s="23"/>
      <c r="D33" s="37" t="s">
        <v>128</v>
      </c>
      <c r="E33" s="29">
        <f>SUM(E29:E32)</f>
        <v>15</v>
      </c>
      <c r="F33" s="24"/>
      <c r="G33" s="171" t="s">
        <v>94</v>
      </c>
      <c r="H33" s="26"/>
      <c r="I33" s="187">
        <v>1</v>
      </c>
      <c r="J33" s="187">
        <v>8</v>
      </c>
      <c r="K33" s="27">
        <f t="shared" si="1"/>
        <v>8</v>
      </c>
    </row>
    <row r="34" spans="1:11" ht="15.75" customHeight="1">
      <c r="A34" s="24"/>
      <c r="B34" s="24"/>
      <c r="C34" s="24"/>
      <c r="D34" s="37" t="s">
        <v>129</v>
      </c>
      <c r="E34" s="30">
        <f>+E33/60</f>
        <v>0.25</v>
      </c>
      <c r="F34" s="24"/>
      <c r="G34" s="171" t="s">
        <v>125</v>
      </c>
      <c r="H34" s="26"/>
      <c r="I34" s="187">
        <v>1</v>
      </c>
      <c r="J34" s="187">
        <v>5</v>
      </c>
      <c r="K34" s="27">
        <f t="shared" si="1"/>
        <v>5</v>
      </c>
    </row>
    <row r="35" spans="6:11" ht="15.75" customHeight="1" thickBot="1">
      <c r="F35" s="24"/>
      <c r="G35" s="171" t="s">
        <v>126</v>
      </c>
      <c r="H35" s="26"/>
      <c r="I35" s="187">
        <v>1</v>
      </c>
      <c r="J35" s="187">
        <v>5</v>
      </c>
      <c r="K35" s="27">
        <f t="shared" si="1"/>
        <v>5</v>
      </c>
    </row>
    <row r="36" spans="3:11" ht="15.75" customHeight="1">
      <c r="C36" s="277" t="s">
        <v>64</v>
      </c>
      <c r="D36" s="279" t="s">
        <v>119</v>
      </c>
      <c r="E36" s="281" t="s">
        <v>120</v>
      </c>
      <c r="F36" s="161"/>
      <c r="G36" s="171" t="s">
        <v>127</v>
      </c>
      <c r="H36" s="26"/>
      <c r="I36" s="187">
        <v>1</v>
      </c>
      <c r="J36" s="187">
        <v>8</v>
      </c>
      <c r="K36" s="27">
        <f>+J36*I36</f>
        <v>8</v>
      </c>
    </row>
    <row r="37" spans="1:12" ht="15.75" customHeight="1" thickBot="1">
      <c r="A37" s="39" t="s">
        <v>17</v>
      </c>
      <c r="B37" s="5"/>
      <c r="C37" s="278"/>
      <c r="D37" s="280"/>
      <c r="E37" s="282"/>
      <c r="F37" s="161"/>
      <c r="G37" s="186" t="s">
        <v>214</v>
      </c>
      <c r="J37" s="187"/>
      <c r="K37" s="27">
        <f>+J37</f>
        <v>0</v>
      </c>
      <c r="L37" s="24"/>
    </row>
    <row r="38" spans="1:12" ht="15.75" customHeight="1">
      <c r="A38" s="26" t="s">
        <v>123</v>
      </c>
      <c r="B38" s="24"/>
      <c r="C38" s="187">
        <v>1</v>
      </c>
      <c r="D38" s="187">
        <v>5</v>
      </c>
      <c r="E38" s="27">
        <f>+D38*C38</f>
        <v>5</v>
      </c>
      <c r="F38" s="161"/>
      <c r="G38" s="196"/>
      <c r="H38" s="188"/>
      <c r="I38" s="187"/>
      <c r="J38" s="187"/>
      <c r="K38" s="27">
        <f>+J38*I38</f>
        <v>0</v>
      </c>
      <c r="L38" s="24"/>
    </row>
    <row r="39" spans="1:12" ht="15.75" customHeight="1" thickBot="1">
      <c r="A39" s="26" t="s">
        <v>124</v>
      </c>
      <c r="B39" s="24"/>
      <c r="C39" s="187">
        <v>1</v>
      </c>
      <c r="D39" s="187">
        <v>5</v>
      </c>
      <c r="E39" s="27">
        <f>+D39*C39</f>
        <v>5</v>
      </c>
      <c r="F39" s="24"/>
      <c r="G39" s="196"/>
      <c r="H39" s="188"/>
      <c r="I39" s="187"/>
      <c r="J39" s="187"/>
      <c r="K39" s="27">
        <f>+J39*I39</f>
        <v>0</v>
      </c>
      <c r="L39" s="24"/>
    </row>
    <row r="40" spans="1:11" ht="15.75" customHeight="1" thickBot="1">
      <c r="A40" s="193"/>
      <c r="B40" s="194"/>
      <c r="C40" s="187"/>
      <c r="D40" s="187"/>
      <c r="E40" s="27">
        <f>+D40*C40</f>
        <v>0</v>
      </c>
      <c r="G40" s="31"/>
      <c r="H40" s="31"/>
      <c r="I40" s="23"/>
      <c r="J40" s="37" t="s">
        <v>130</v>
      </c>
      <c r="K40" s="29">
        <f>SUM(K29:K39)</f>
        <v>42</v>
      </c>
    </row>
    <row r="41" spans="1:11" ht="15.75" customHeight="1" thickBot="1">
      <c r="A41" s="24"/>
      <c r="B41" s="24"/>
      <c r="C41" s="24"/>
      <c r="D41" s="37" t="s">
        <v>128</v>
      </c>
      <c r="E41" s="29">
        <f>SUM(E38:E40)</f>
        <v>10</v>
      </c>
      <c r="H41" s="31"/>
      <c r="I41" s="23"/>
      <c r="J41" s="37" t="s">
        <v>66</v>
      </c>
      <c r="K41" s="30">
        <f>+K40/60</f>
        <v>0.7</v>
      </c>
    </row>
    <row r="42" spans="1:5" ht="15.75" customHeight="1">
      <c r="A42" s="24"/>
      <c r="B42" s="24"/>
      <c r="C42" s="24"/>
      <c r="D42" s="37" t="s">
        <v>129</v>
      </c>
      <c r="E42" s="30">
        <f>+E41/60</f>
        <v>0.16666666666666666</v>
      </c>
    </row>
    <row r="43" spans="1:11" ht="15" customHeight="1" thickBot="1">
      <c r="A43" s="13"/>
      <c r="B43" s="13"/>
      <c r="C43" s="13"/>
      <c r="D43" s="13"/>
      <c r="E43" s="13"/>
      <c r="F43" s="13"/>
      <c r="G43" s="98"/>
      <c r="H43" s="98"/>
      <c r="I43" s="98"/>
      <c r="J43" s="148"/>
      <c r="K43" s="13"/>
    </row>
    <row r="44" spans="7:10" ht="14.25">
      <c r="G44" s="24"/>
      <c r="H44" s="24"/>
      <c r="I44" s="24"/>
      <c r="J44" s="37"/>
    </row>
    <row r="45" spans="1:10" ht="23.25">
      <c r="A45" s="56" t="s">
        <v>91</v>
      </c>
      <c r="G45" s="24"/>
      <c r="H45" s="24"/>
      <c r="I45" s="24"/>
      <c r="J45" s="37"/>
    </row>
    <row r="47" ht="18.75" thickBot="1">
      <c r="A47" s="40"/>
    </row>
    <row r="48" spans="1:11" ht="18" customHeight="1">
      <c r="A48" s="40" t="s">
        <v>21</v>
      </c>
      <c r="C48" s="277" t="s">
        <v>64</v>
      </c>
      <c r="D48" s="279" t="s">
        <v>119</v>
      </c>
      <c r="E48" s="281" t="s">
        <v>120</v>
      </c>
      <c r="G48" s="21" t="s">
        <v>107</v>
      </c>
      <c r="I48" s="277" t="s">
        <v>64</v>
      </c>
      <c r="J48" s="279" t="s">
        <v>119</v>
      </c>
      <c r="K48" s="281" t="s">
        <v>120</v>
      </c>
    </row>
    <row r="49" spans="1:11" ht="18.75" thickBot="1">
      <c r="A49" s="62" t="s">
        <v>132</v>
      </c>
      <c r="B49" s="34"/>
      <c r="C49" s="278"/>
      <c r="D49" s="280"/>
      <c r="E49" s="282"/>
      <c r="G49" s="21" t="s">
        <v>108</v>
      </c>
      <c r="I49" s="278"/>
      <c r="J49" s="280"/>
      <c r="K49" s="282"/>
    </row>
    <row r="50" spans="1:12" ht="12.75" customHeight="1">
      <c r="A50" s="26" t="s">
        <v>133</v>
      </c>
      <c r="B50" s="26"/>
      <c r="C50" s="187">
        <v>1</v>
      </c>
      <c r="D50" s="187">
        <v>20</v>
      </c>
      <c r="E50" s="27">
        <f aca="true" t="shared" si="2" ref="E50:E55">+D50*$C$50</f>
        <v>20</v>
      </c>
      <c r="F50" s="24"/>
      <c r="G50" s="289" t="s">
        <v>136</v>
      </c>
      <c r="H50" s="290"/>
      <c r="I50" s="197">
        <v>2</v>
      </c>
      <c r="J50" s="187">
        <v>10</v>
      </c>
      <c r="K50" s="27">
        <f aca="true" t="shared" si="3" ref="K50:K55">+J50*I50</f>
        <v>20</v>
      </c>
      <c r="L50" s="24"/>
    </row>
    <row r="51" spans="1:12" ht="14.25">
      <c r="A51" s="26" t="s">
        <v>67</v>
      </c>
      <c r="B51" s="26"/>
      <c r="C51" s="227"/>
      <c r="D51" s="187">
        <v>70</v>
      </c>
      <c r="E51" s="27">
        <f t="shared" si="2"/>
        <v>70</v>
      </c>
      <c r="F51" s="24"/>
      <c r="G51" s="289" t="s">
        <v>22</v>
      </c>
      <c r="H51" s="290"/>
      <c r="I51" s="197">
        <v>1</v>
      </c>
      <c r="J51" s="187">
        <v>30</v>
      </c>
      <c r="K51" s="27">
        <f t="shared" si="3"/>
        <v>30</v>
      </c>
      <c r="L51" s="24"/>
    </row>
    <row r="52" spans="1:12" ht="14.25">
      <c r="A52" s="26" t="s">
        <v>134</v>
      </c>
      <c r="B52" s="26"/>
      <c r="C52" s="227"/>
      <c r="D52" s="187">
        <v>120</v>
      </c>
      <c r="E52" s="27">
        <f t="shared" si="2"/>
        <v>120</v>
      </c>
      <c r="F52" s="24"/>
      <c r="G52" s="289" t="s">
        <v>75</v>
      </c>
      <c r="H52" s="290"/>
      <c r="I52" s="208">
        <v>1</v>
      </c>
      <c r="J52" s="187">
        <v>30</v>
      </c>
      <c r="K52" s="27">
        <f t="shared" si="3"/>
        <v>30</v>
      </c>
      <c r="L52" s="24"/>
    </row>
    <row r="53" spans="1:12" ht="16.5">
      <c r="A53" s="26" t="s">
        <v>96</v>
      </c>
      <c r="B53" s="26"/>
      <c r="C53" s="227"/>
      <c r="D53" s="187">
        <v>30</v>
      </c>
      <c r="E53" s="27">
        <f t="shared" si="2"/>
        <v>30</v>
      </c>
      <c r="F53" s="24"/>
      <c r="G53" s="219" t="s">
        <v>148</v>
      </c>
      <c r="H53" s="149"/>
      <c r="I53" s="187">
        <v>1</v>
      </c>
      <c r="J53" s="209">
        <v>240</v>
      </c>
      <c r="K53" s="27">
        <f t="shared" si="3"/>
        <v>240</v>
      </c>
      <c r="L53" s="24"/>
    </row>
    <row r="54" spans="1:11" ht="14.25">
      <c r="A54" s="188"/>
      <c r="B54" s="188"/>
      <c r="C54" s="193"/>
      <c r="D54" s="187"/>
      <c r="E54" s="27">
        <f t="shared" si="2"/>
        <v>0</v>
      </c>
      <c r="F54" s="24"/>
      <c r="G54" s="291" t="s">
        <v>137</v>
      </c>
      <c r="H54" s="292"/>
      <c r="I54" s="210">
        <v>1</v>
      </c>
      <c r="J54" s="187">
        <v>20</v>
      </c>
      <c r="K54" s="28">
        <f t="shared" si="3"/>
        <v>20</v>
      </c>
    </row>
    <row r="55" spans="1:11" ht="15" thickBot="1">
      <c r="A55" s="188"/>
      <c r="B55" s="188"/>
      <c r="C55" s="193"/>
      <c r="D55" s="187"/>
      <c r="E55" s="27">
        <f t="shared" si="2"/>
        <v>0</v>
      </c>
      <c r="F55" s="24"/>
      <c r="G55" s="293"/>
      <c r="H55" s="294"/>
      <c r="I55" s="210"/>
      <c r="J55" s="187"/>
      <c r="K55" s="28">
        <f t="shared" si="3"/>
        <v>0</v>
      </c>
    </row>
    <row r="56" spans="1:11" ht="15" thickBot="1">
      <c r="A56" s="31"/>
      <c r="B56" s="31"/>
      <c r="C56" s="23"/>
      <c r="D56" s="23"/>
      <c r="E56" s="29">
        <f>SUM(E50:E55)</f>
        <v>240</v>
      </c>
      <c r="F56" s="24" t="s">
        <v>6</v>
      </c>
      <c r="G56" s="24"/>
      <c r="H56" s="24"/>
      <c r="I56" s="24"/>
      <c r="J56" s="37" t="s">
        <v>6</v>
      </c>
      <c r="K56" s="29">
        <f>SUM(K50:K55)</f>
        <v>340</v>
      </c>
    </row>
    <row r="57" spans="1:11" ht="14.25">
      <c r="A57" s="31"/>
      <c r="B57" s="31"/>
      <c r="C57" s="23"/>
      <c r="D57" s="23"/>
      <c r="E57" s="30">
        <f>+E56/60</f>
        <v>4</v>
      </c>
      <c r="F57" s="23" t="s">
        <v>135</v>
      </c>
      <c r="G57" s="24"/>
      <c r="H57" s="24"/>
      <c r="I57" s="24"/>
      <c r="J57" s="37" t="s">
        <v>19</v>
      </c>
      <c r="K57" s="32">
        <f>+K56/60</f>
        <v>5.666666666666667</v>
      </c>
    </row>
    <row r="58" spans="1:3" ht="14.25">
      <c r="A58" s="31"/>
      <c r="B58" s="31"/>
      <c r="C58" s="23"/>
    </row>
    <row r="59" spans="1:11" ht="15" thickBot="1">
      <c r="A59" s="150"/>
      <c r="B59" s="150"/>
      <c r="C59" s="98"/>
      <c r="D59" s="98"/>
      <c r="E59" s="13"/>
      <c r="F59" s="13"/>
      <c r="G59" s="13"/>
      <c r="H59" s="13"/>
      <c r="I59" s="13"/>
      <c r="J59" s="13"/>
      <c r="K59" s="13"/>
    </row>
    <row r="60" spans="1:5" ht="12.75">
      <c r="A60" s="6"/>
      <c r="B60" s="6"/>
      <c r="C60" s="5"/>
      <c r="D60" s="5"/>
      <c r="E60" s="5"/>
    </row>
    <row r="61" spans="1:6" ht="18">
      <c r="A61" s="6"/>
      <c r="B61" s="6"/>
      <c r="C61" s="5"/>
      <c r="D61" s="5"/>
      <c r="E61" s="21"/>
      <c r="F61" s="21" t="s">
        <v>23</v>
      </c>
    </row>
    <row r="62" spans="1:6" ht="18">
      <c r="A62" s="6"/>
      <c r="B62" s="6"/>
      <c r="C62" s="5"/>
      <c r="D62" s="5"/>
      <c r="E62" s="41"/>
      <c r="F62" s="41" t="s">
        <v>138</v>
      </c>
    </row>
    <row r="63" spans="1:12" ht="14.25">
      <c r="A63" s="6"/>
      <c r="B63" s="6"/>
      <c r="C63" s="5"/>
      <c r="D63" s="5"/>
      <c r="G63" s="24"/>
      <c r="L63" s="229"/>
    </row>
    <row r="64" spans="1:6" ht="15">
      <c r="A64" s="6"/>
      <c r="B64" s="6"/>
      <c r="C64" s="5"/>
      <c r="D64" s="5"/>
      <c r="F64" s="25" t="s">
        <v>139</v>
      </c>
    </row>
    <row r="65" spans="1:6" ht="15">
      <c r="A65" s="6"/>
      <c r="B65" s="6"/>
      <c r="C65" s="5"/>
      <c r="D65" s="5"/>
      <c r="F65" s="25" t="s">
        <v>140</v>
      </c>
    </row>
    <row r="66" spans="1:6" ht="15">
      <c r="A66" s="6"/>
      <c r="B66" s="6"/>
      <c r="C66" s="5"/>
      <c r="D66" s="5"/>
      <c r="E66" s="5"/>
      <c r="F66" s="25" t="s">
        <v>141</v>
      </c>
    </row>
    <row r="67" spans="1:5" ht="12.75">
      <c r="A67" s="6"/>
      <c r="B67" s="6"/>
      <c r="C67" s="5"/>
      <c r="D67" s="5"/>
      <c r="E67" s="5"/>
    </row>
    <row r="68" spans="1:5" ht="12.75">
      <c r="A68" s="6"/>
      <c r="B68" s="6"/>
      <c r="C68" s="5"/>
      <c r="D68" s="5"/>
      <c r="E68" s="5"/>
    </row>
    <row r="69" spans="1:5" ht="12.75">
      <c r="A69" s="6"/>
      <c r="B69" s="6"/>
      <c r="C69" s="5"/>
      <c r="D69" s="5"/>
      <c r="E69" s="5"/>
    </row>
    <row r="71" spans="1:5" ht="23.25">
      <c r="A71" s="56" t="s">
        <v>109</v>
      </c>
      <c r="B71" s="22"/>
      <c r="C71" s="5"/>
      <c r="D71" s="5"/>
      <c r="E71" s="5"/>
    </row>
    <row r="72" spans="2:5" ht="12.75">
      <c r="B72" s="6"/>
      <c r="C72" s="20"/>
      <c r="D72" s="20"/>
      <c r="E72" s="20"/>
    </row>
    <row r="73" spans="1:5" ht="21" thickBot="1">
      <c r="A73" s="74" t="s">
        <v>142</v>
      </c>
      <c r="B73" s="6"/>
      <c r="C73" s="20"/>
      <c r="D73" s="20"/>
      <c r="E73" s="20"/>
    </row>
    <row r="74" spans="1:6" ht="18">
      <c r="A74" s="40"/>
      <c r="B74" s="295" t="s">
        <v>149</v>
      </c>
      <c r="C74" s="296"/>
      <c r="D74" s="20"/>
      <c r="E74" s="295" t="s">
        <v>151</v>
      </c>
      <c r="F74" s="296"/>
    </row>
    <row r="75" spans="1:6" ht="18">
      <c r="A75" s="6"/>
      <c r="B75" s="297" t="s">
        <v>150</v>
      </c>
      <c r="C75" s="298"/>
      <c r="E75" s="297" t="s">
        <v>150</v>
      </c>
      <c r="F75" s="298"/>
    </row>
    <row r="76" spans="2:6" ht="12.75">
      <c r="B76" s="46"/>
      <c r="C76" s="43"/>
      <c r="E76" s="46"/>
      <c r="F76" s="43"/>
    </row>
    <row r="77" spans="1:6" ht="12.75" customHeight="1">
      <c r="A77" s="220" t="s">
        <v>152</v>
      </c>
      <c r="B77" s="211">
        <v>2</v>
      </c>
      <c r="C77" s="43"/>
      <c r="E77" s="58" t="s">
        <v>156</v>
      </c>
      <c r="F77" s="201">
        <v>22.8</v>
      </c>
    </row>
    <row r="78" spans="1:8" ht="12.75">
      <c r="A78" s="36" t="s">
        <v>153</v>
      </c>
      <c r="B78" s="202">
        <v>2.4</v>
      </c>
      <c r="C78" s="43"/>
      <c r="E78" s="58" t="s">
        <v>157</v>
      </c>
      <c r="F78" s="201">
        <v>1.7</v>
      </c>
      <c r="H78" s="35" t="s">
        <v>24</v>
      </c>
    </row>
    <row r="79" spans="1:8" ht="12.75">
      <c r="A79" s="36" t="s">
        <v>154</v>
      </c>
      <c r="B79" s="202">
        <v>2.3</v>
      </c>
      <c r="C79" s="43"/>
      <c r="E79" s="59" t="s">
        <v>158</v>
      </c>
      <c r="F79" s="48">
        <f>+B79</f>
        <v>2.3</v>
      </c>
      <c r="H79" s="198">
        <v>2.95</v>
      </c>
    </row>
    <row r="80" spans="1:6" ht="12.75" customHeight="1">
      <c r="A80" s="36" t="s">
        <v>155</v>
      </c>
      <c r="B80" s="45">
        <f>ROUNDUP(B79*I109*B78*$H$79*B77,0)</f>
        <v>56</v>
      </c>
      <c r="C80" s="43"/>
      <c r="E80" s="59" t="s">
        <v>159</v>
      </c>
      <c r="F80" s="48">
        <f>ROUNDUP(F79*I109*F77*$H$79,0)</f>
        <v>263</v>
      </c>
    </row>
    <row r="81" spans="1:11" ht="18" customHeight="1" thickBot="1">
      <c r="A81" s="13"/>
      <c r="B81" s="54"/>
      <c r="C81" s="55"/>
      <c r="D81" s="13"/>
      <c r="E81" s="54"/>
      <c r="F81" s="55"/>
      <c r="G81" s="13"/>
      <c r="H81" s="13"/>
      <c r="I81" s="13"/>
      <c r="J81" s="13"/>
      <c r="K81" s="13"/>
    </row>
    <row r="82" spans="1:11" ht="15" customHeight="1">
      <c r="A82" s="5"/>
      <c r="B82" s="46"/>
      <c r="C82" s="43"/>
      <c r="D82" s="5"/>
      <c r="E82" s="46"/>
      <c r="F82" s="43"/>
      <c r="G82" s="5"/>
      <c r="H82" s="5"/>
      <c r="I82" s="5"/>
      <c r="J82" s="5"/>
      <c r="K82" s="5"/>
    </row>
    <row r="83" spans="1:6" ht="17.25" customHeight="1">
      <c r="A83" s="74" t="s">
        <v>110</v>
      </c>
      <c r="B83" s="49"/>
      <c r="C83" s="43"/>
      <c r="E83" s="49"/>
      <c r="F83" s="299" t="s">
        <v>162</v>
      </c>
    </row>
    <row r="84" spans="1:6" ht="15" customHeight="1">
      <c r="A84" s="40"/>
      <c r="B84" s="49" t="s">
        <v>161</v>
      </c>
      <c r="C84" s="43"/>
      <c r="E84" s="49" t="s">
        <v>161</v>
      </c>
      <c r="F84" s="299"/>
    </row>
    <row r="85" spans="2:7" ht="15" customHeight="1">
      <c r="B85" s="49" t="s">
        <v>73</v>
      </c>
      <c r="C85" s="47" t="s">
        <v>19</v>
      </c>
      <c r="E85" s="49" t="s">
        <v>73</v>
      </c>
      <c r="F85" s="300"/>
      <c r="G85" s="9"/>
    </row>
    <row r="86" spans="1:6" ht="15" customHeight="1">
      <c r="A86" s="224" t="s">
        <v>160</v>
      </c>
      <c r="B86" s="221">
        <v>15</v>
      </c>
      <c r="C86" s="50">
        <f>+ROUNDUP(B86/60*B78,1)</f>
        <v>0.6</v>
      </c>
      <c r="E86" s="202">
        <v>15</v>
      </c>
      <c r="F86" s="50">
        <f>ROUNDUP(+F77*E86/60,1)</f>
        <v>5.7</v>
      </c>
    </row>
    <row r="87" spans="1:11" ht="9" customHeight="1" thickBot="1">
      <c r="A87" s="13"/>
      <c r="B87" s="54"/>
      <c r="C87" s="55"/>
      <c r="D87" s="13"/>
      <c r="E87" s="54"/>
      <c r="F87" s="55"/>
      <c r="G87" s="13"/>
      <c r="H87" s="13"/>
      <c r="I87" s="13"/>
      <c r="J87" s="13"/>
      <c r="K87" s="13"/>
    </row>
    <row r="88" spans="1:11" ht="18" customHeight="1">
      <c r="A88" s="5"/>
      <c r="B88" s="46"/>
      <c r="C88" s="43"/>
      <c r="D88" s="5"/>
      <c r="E88" s="46"/>
      <c r="F88" s="43"/>
      <c r="G88" s="301" t="s">
        <v>25</v>
      </c>
      <c r="H88" s="302"/>
      <c r="I88" s="302"/>
      <c r="J88" s="302"/>
      <c r="K88" s="303"/>
    </row>
    <row r="89" spans="1:11" ht="23.25" customHeight="1">
      <c r="A89" s="74" t="s">
        <v>111</v>
      </c>
      <c r="B89" s="46"/>
      <c r="C89" s="43"/>
      <c r="E89" s="46"/>
      <c r="F89" s="43"/>
      <c r="G89" s="160"/>
      <c r="H89" s="160"/>
      <c r="I89" s="304" t="s">
        <v>167</v>
      </c>
      <c r="J89" s="304" t="s">
        <v>168</v>
      </c>
      <c r="K89" s="304" t="s">
        <v>169</v>
      </c>
    </row>
    <row r="90" spans="2:11" ht="18" customHeight="1">
      <c r="B90" s="46"/>
      <c r="C90" s="47" t="s">
        <v>19</v>
      </c>
      <c r="E90" s="46"/>
      <c r="F90" s="47" t="s">
        <v>19</v>
      </c>
      <c r="G90" s="160"/>
      <c r="H90" s="160"/>
      <c r="I90" s="304"/>
      <c r="J90" s="304"/>
      <c r="K90" s="276"/>
    </row>
    <row r="91" spans="1:11" ht="18" customHeight="1">
      <c r="A91" s="8" t="s">
        <v>163</v>
      </c>
      <c r="B91" s="46"/>
      <c r="C91" s="50">
        <f>+ROUNDUP(B77*B79*K94/K103,1)</f>
        <v>1.5</v>
      </c>
      <c r="E91" s="46"/>
      <c r="F91" s="50">
        <f>+ROUNDUP(F77*K94/K103,1)</f>
        <v>7.199999999999999</v>
      </c>
      <c r="G91" s="275" t="s">
        <v>170</v>
      </c>
      <c r="H91" s="271"/>
      <c r="I91" s="198">
        <v>1.2</v>
      </c>
      <c r="J91" s="248">
        <v>3</v>
      </c>
      <c r="K91" s="66">
        <f>ROUND(J91*I91/1.2+0.1,1)</f>
        <v>3.1</v>
      </c>
    </row>
    <row r="92" spans="2:11" ht="18" customHeight="1">
      <c r="B92" s="272" t="s">
        <v>166</v>
      </c>
      <c r="C92" s="43"/>
      <c r="E92" s="272"/>
      <c r="F92" s="43"/>
      <c r="G92" s="275" t="s">
        <v>171</v>
      </c>
      <c r="H92" s="271"/>
      <c r="I92" s="198">
        <v>1.2</v>
      </c>
      <c r="J92" s="248">
        <v>2</v>
      </c>
      <c r="K92" s="66">
        <f>ROUND(J92*I92/1.2+0.1,1)</f>
        <v>2.1</v>
      </c>
    </row>
    <row r="93" spans="2:11" ht="18" customHeight="1">
      <c r="B93" s="272"/>
      <c r="C93" s="47" t="s">
        <v>19</v>
      </c>
      <c r="E93" s="272"/>
      <c r="F93" s="47" t="s">
        <v>19</v>
      </c>
      <c r="G93" s="275" t="s">
        <v>172</v>
      </c>
      <c r="H93" s="271"/>
      <c r="I93" s="198">
        <v>1.2</v>
      </c>
      <c r="J93" s="248">
        <v>2</v>
      </c>
      <c r="K93" s="66">
        <f>ROUND(J93*I93/1.2+0.1,1)</f>
        <v>2.1</v>
      </c>
    </row>
    <row r="94" spans="1:11" ht="18" customHeight="1">
      <c r="A94" s="223" t="s">
        <v>164</v>
      </c>
      <c r="B94" s="221">
        <v>2.3</v>
      </c>
      <c r="C94" s="50">
        <f>+ROUNDUP(J94*B94*B77*B79/60,1)</f>
        <v>1.3</v>
      </c>
      <c r="E94" s="46"/>
      <c r="F94" s="50">
        <f>+ROUNDUP(J94*B94*F77/60,1)</f>
        <v>6.199999999999999</v>
      </c>
      <c r="G94" s="5"/>
      <c r="J94" s="66">
        <f>SUM(J91:J93)</f>
        <v>7</v>
      </c>
      <c r="K94" s="66">
        <f>SUM(K91:K93)</f>
        <v>7.300000000000001</v>
      </c>
    </row>
    <row r="95" spans="1:6" ht="18" customHeight="1">
      <c r="A95" s="222" t="s">
        <v>165</v>
      </c>
      <c r="B95" s="5"/>
      <c r="C95" s="69" t="s">
        <v>26</v>
      </c>
      <c r="E95" s="46"/>
      <c r="F95" s="69" t="s">
        <v>26</v>
      </c>
    </row>
    <row r="96" spans="1:11" ht="18" customHeight="1" thickBot="1">
      <c r="A96" s="13"/>
      <c r="B96" s="54"/>
      <c r="C96" s="70">
        <f>+C91+C94</f>
        <v>2.8</v>
      </c>
      <c r="D96" s="13"/>
      <c r="E96" s="54"/>
      <c r="F96" s="70">
        <f>+F91+F94</f>
        <v>13.399999999999999</v>
      </c>
      <c r="G96" s="13"/>
      <c r="H96" s="13"/>
      <c r="I96" s="13"/>
      <c r="J96" s="13"/>
      <c r="K96" s="13"/>
    </row>
    <row r="97" spans="1:11" ht="20.25">
      <c r="A97" s="74"/>
      <c r="B97" s="46"/>
      <c r="C97" s="43"/>
      <c r="E97" s="46"/>
      <c r="F97" s="43"/>
      <c r="G97" s="301" t="s">
        <v>48</v>
      </c>
      <c r="H97" s="302"/>
      <c r="I97" s="302"/>
      <c r="J97" s="302"/>
      <c r="K97" s="303"/>
    </row>
    <row r="98" spans="1:11" ht="20.25">
      <c r="A98" s="74" t="s">
        <v>112</v>
      </c>
      <c r="B98" s="46"/>
      <c r="C98" s="43"/>
      <c r="E98" s="46"/>
      <c r="F98" s="43"/>
      <c r="G98" s="90" t="s">
        <v>177</v>
      </c>
      <c r="H98" s="90"/>
      <c r="I98" s="90"/>
      <c r="J98" s="91"/>
      <c r="K98" s="203">
        <v>2.16</v>
      </c>
    </row>
    <row r="99" spans="1:11" ht="18" customHeight="1">
      <c r="A99" s="74"/>
      <c r="B99" s="46"/>
      <c r="C99" s="43"/>
      <c r="E99" s="46"/>
      <c r="F99" s="43"/>
      <c r="G99" s="273" t="s">
        <v>178</v>
      </c>
      <c r="H99" s="274"/>
      <c r="I99" s="274"/>
      <c r="J99" s="270"/>
      <c r="K99" s="306">
        <v>1.85</v>
      </c>
    </row>
    <row r="100" spans="1:11" ht="21" customHeight="1">
      <c r="A100" s="74"/>
      <c r="B100" s="272" t="s">
        <v>175</v>
      </c>
      <c r="C100" s="43"/>
      <c r="E100" s="46"/>
      <c r="F100" s="43"/>
      <c r="G100" s="268"/>
      <c r="H100" s="269"/>
      <c r="I100" s="269"/>
      <c r="J100" s="305"/>
      <c r="K100" s="307"/>
    </row>
    <row r="101" spans="1:11" ht="12.75">
      <c r="A101" s="5"/>
      <c r="B101" s="308"/>
      <c r="C101" s="47" t="s">
        <v>30</v>
      </c>
      <c r="E101" s="49" t="s">
        <v>176</v>
      </c>
      <c r="F101" s="47" t="s">
        <v>30</v>
      </c>
      <c r="G101" s="80" t="s">
        <v>179</v>
      </c>
      <c r="H101" s="75"/>
      <c r="I101" s="75"/>
      <c r="J101" s="76"/>
      <c r="K101" s="77">
        <f>+K99+K98*2</f>
        <v>6.17</v>
      </c>
    </row>
    <row r="102" spans="1:6" ht="13.5" thickBot="1">
      <c r="A102" s="7" t="s">
        <v>173</v>
      </c>
      <c r="B102" s="202">
        <v>31</v>
      </c>
      <c r="C102" s="48">
        <f>B78*B102*B77</f>
        <v>148.79999999999998</v>
      </c>
      <c r="E102" s="45">
        <f>ROUNDUP(ROUNDUP(I113,0)*H113,0)</f>
        <v>152</v>
      </c>
      <c r="F102" s="48">
        <f>+E102*G109</f>
        <v>364.8</v>
      </c>
    </row>
    <row r="103" spans="2:11" ht="15.75">
      <c r="B103" s="49"/>
      <c r="C103" s="47" t="s">
        <v>19</v>
      </c>
      <c r="E103" s="49"/>
      <c r="F103" s="47" t="s">
        <v>19</v>
      </c>
      <c r="G103" s="309" t="s">
        <v>27</v>
      </c>
      <c r="H103" s="310"/>
      <c r="I103" s="310"/>
      <c r="J103" s="311"/>
      <c r="K103" s="312">
        <f>2.4/K101*60</f>
        <v>23.338735818476497</v>
      </c>
    </row>
    <row r="104" spans="1:11" ht="13.5" thickBot="1">
      <c r="A104" s="8" t="s">
        <v>174</v>
      </c>
      <c r="B104" s="49"/>
      <c r="C104" s="50">
        <f>C102/$K$103</f>
        <v>6.375666666666667</v>
      </c>
      <c r="E104" s="49"/>
      <c r="F104" s="50">
        <f>F102/$K$103</f>
        <v>15.630666666666668</v>
      </c>
      <c r="G104" s="314" t="s">
        <v>180</v>
      </c>
      <c r="H104" s="315"/>
      <c r="I104" s="315"/>
      <c r="J104" s="316"/>
      <c r="K104" s="313"/>
    </row>
    <row r="105" spans="1:6" ht="13.5" thickBot="1">
      <c r="A105" s="5"/>
      <c r="B105" s="49"/>
      <c r="C105" s="43"/>
      <c r="E105" s="49"/>
      <c r="F105" s="43"/>
    </row>
    <row r="106" spans="1:11" ht="15.75">
      <c r="A106" s="5"/>
      <c r="B106" s="225">
        <f>+B80</f>
        <v>56</v>
      </c>
      <c r="C106" s="43" t="s">
        <v>87</v>
      </c>
      <c r="D106" s="5"/>
      <c r="E106" s="225">
        <f>+F80</f>
        <v>263</v>
      </c>
      <c r="F106" s="43" t="s">
        <v>87</v>
      </c>
      <c r="G106" s="317" t="s">
        <v>181</v>
      </c>
      <c r="H106" s="318"/>
      <c r="I106" s="318"/>
      <c r="J106" s="318"/>
      <c r="K106" s="319"/>
    </row>
    <row r="107" spans="2:11" ht="12.75" customHeight="1">
      <c r="B107" s="46"/>
      <c r="C107" s="43"/>
      <c r="E107" s="46"/>
      <c r="F107" s="43"/>
      <c r="G107" s="320" t="s">
        <v>182</v>
      </c>
      <c r="H107" s="322" t="s">
        <v>183</v>
      </c>
      <c r="I107" s="324" t="s">
        <v>184</v>
      </c>
      <c r="J107" s="86"/>
      <c r="K107" s="87"/>
    </row>
    <row r="108" spans="2:11" ht="15.75" customHeight="1">
      <c r="B108" s="46"/>
      <c r="C108" s="43"/>
      <c r="E108" s="46"/>
      <c r="F108" s="43"/>
      <c r="G108" s="321"/>
      <c r="H108" s="323"/>
      <c r="I108" s="325"/>
      <c r="J108" s="333" t="s">
        <v>270</v>
      </c>
      <c r="K108" s="334"/>
    </row>
    <row r="109" spans="2:11" ht="13.5" thickBot="1">
      <c r="B109" s="46"/>
      <c r="C109" s="43"/>
      <c r="E109" s="46"/>
      <c r="F109" s="43"/>
      <c r="G109" s="245">
        <f>+B78</f>
        <v>2.4</v>
      </c>
      <c r="H109" s="244">
        <f>+F79</f>
        <v>2.3</v>
      </c>
      <c r="I109" s="244">
        <f>+F78</f>
        <v>1.7</v>
      </c>
      <c r="J109" s="331">
        <v>0.6</v>
      </c>
      <c r="K109" s="332"/>
    </row>
    <row r="110" spans="2:6" ht="12.75">
      <c r="B110" s="46"/>
      <c r="C110" s="43"/>
      <c r="E110" s="46"/>
      <c r="F110" s="43"/>
    </row>
    <row r="111" spans="2:6" ht="13.5" thickBot="1">
      <c r="B111" s="46"/>
      <c r="C111" s="43"/>
      <c r="E111" s="46"/>
      <c r="F111" s="43"/>
    </row>
    <row r="112" spans="2:11" ht="12.75">
      <c r="B112" s="46"/>
      <c r="C112" s="43"/>
      <c r="E112" s="46"/>
      <c r="F112" s="43"/>
      <c r="H112" s="226" t="s">
        <v>28</v>
      </c>
      <c r="I112" s="328" t="s">
        <v>99</v>
      </c>
      <c r="J112" s="329"/>
      <c r="K112" s="330"/>
    </row>
    <row r="113" spans="2:11" ht="13.5" thickBot="1">
      <c r="B113" s="46"/>
      <c r="C113" s="43"/>
      <c r="E113" s="46"/>
      <c r="F113" s="43"/>
      <c r="H113" s="243">
        <f>ROUNDUP(F77/J109,0)</f>
        <v>38</v>
      </c>
      <c r="I113" s="430">
        <v>4</v>
      </c>
      <c r="J113" s="431"/>
      <c r="K113" s="432"/>
    </row>
    <row r="114" spans="1:11" ht="16.5" customHeight="1" thickBot="1">
      <c r="A114" s="38"/>
      <c r="B114" s="51"/>
      <c r="C114" s="52"/>
      <c r="D114" s="38"/>
      <c r="E114" s="51"/>
      <c r="F114" s="52"/>
      <c r="G114" s="162" t="s">
        <v>185</v>
      </c>
      <c r="H114" s="85">
        <f>+K114/G109</f>
        <v>0.7209429824561404</v>
      </c>
      <c r="I114" s="326" t="s">
        <v>88</v>
      </c>
      <c r="J114" s="327"/>
      <c r="K114" s="246">
        <f>+E106/H113/I113</f>
        <v>1.730263157894737</v>
      </c>
    </row>
    <row r="115" spans="1:11" ht="12.75">
      <c r="A115" s="5"/>
      <c r="B115" s="46"/>
      <c r="C115" s="43"/>
      <c r="D115" s="5"/>
      <c r="E115" s="46"/>
      <c r="F115" s="43"/>
      <c r="K115" s="5"/>
    </row>
    <row r="116" spans="1:11" ht="20.25">
      <c r="A116" s="74" t="s">
        <v>113</v>
      </c>
      <c r="B116" s="46"/>
      <c r="C116" s="43"/>
      <c r="D116" s="5"/>
      <c r="E116" s="46"/>
      <c r="F116" s="43"/>
      <c r="G116" s="301" t="s">
        <v>29</v>
      </c>
      <c r="H116" s="302"/>
      <c r="I116" s="302"/>
      <c r="J116" s="302"/>
      <c r="K116" s="303"/>
    </row>
    <row r="117" spans="2:9" ht="14.25" customHeight="1">
      <c r="B117" s="272" t="s">
        <v>186</v>
      </c>
      <c r="C117" s="43"/>
      <c r="D117" s="5"/>
      <c r="E117" s="272" t="s">
        <v>186</v>
      </c>
      <c r="F117" s="299" t="s">
        <v>187</v>
      </c>
      <c r="G117" s="151"/>
      <c r="H117" s="83" t="s">
        <v>189</v>
      </c>
      <c r="I117" s="212">
        <v>32</v>
      </c>
    </row>
    <row r="118" spans="1:12" ht="15.75" thickBot="1">
      <c r="A118" s="23"/>
      <c r="B118" s="335"/>
      <c r="C118" s="47" t="s">
        <v>19</v>
      </c>
      <c r="E118" s="335"/>
      <c r="F118" s="300"/>
      <c r="G118" s="152"/>
      <c r="H118" s="83" t="s">
        <v>190</v>
      </c>
      <c r="I118" s="213">
        <v>1.01</v>
      </c>
      <c r="L118" s="9"/>
    </row>
    <row r="119" spans="1:11" ht="15">
      <c r="A119" s="8" t="s">
        <v>76</v>
      </c>
      <c r="B119" s="206">
        <v>0.7</v>
      </c>
      <c r="C119" s="50">
        <f>+B122*B77*B119/60</f>
        <v>0.6533333333333332</v>
      </c>
      <c r="E119" s="206">
        <v>0.7</v>
      </c>
      <c r="F119" s="50">
        <f>+E119*F102/60</f>
        <v>4.255999999999999</v>
      </c>
      <c r="J119" s="336" t="s">
        <v>191</v>
      </c>
      <c r="K119" s="337"/>
    </row>
    <row r="120" spans="2:11" ht="15" customHeight="1" thickBot="1">
      <c r="B120" s="46"/>
      <c r="C120" s="43"/>
      <c r="E120" s="49"/>
      <c r="F120" s="104"/>
      <c r="G120" s="338" t="s">
        <v>192</v>
      </c>
      <c r="H120" s="339"/>
      <c r="I120" s="84">
        <f>POWER(I117/1000,2)*PI()/4*1000*I118</f>
        <v>0.8122901965121768</v>
      </c>
      <c r="J120" s="340">
        <f>+I120*B79/K114</f>
        <v>1.0797591357439429</v>
      </c>
      <c r="K120" s="341"/>
    </row>
    <row r="121" spans="2:6" ht="18.75" customHeight="1" thickBot="1">
      <c r="B121" s="49" t="s">
        <v>68</v>
      </c>
      <c r="C121" s="47" t="s">
        <v>69</v>
      </c>
      <c r="E121" s="49" t="s">
        <v>68</v>
      </c>
      <c r="F121" s="247" t="s">
        <v>188</v>
      </c>
    </row>
    <row r="122" spans="1:11" ht="19.5" customHeight="1" thickBot="1">
      <c r="A122" s="8" t="s">
        <v>31</v>
      </c>
      <c r="B122" s="214">
        <v>28</v>
      </c>
      <c r="C122" s="53">
        <f>ROUND(+C102/$G$109/B122,0)</f>
        <v>2</v>
      </c>
      <c r="E122" s="214">
        <v>30</v>
      </c>
      <c r="F122" s="50">
        <f>+E122/I113*J109</f>
        <v>4.5</v>
      </c>
      <c r="H122" s="342" t="s">
        <v>193</v>
      </c>
      <c r="I122" s="343"/>
      <c r="J122" s="344"/>
      <c r="K122" s="163">
        <f>ROUNDUP(+F77/F122,0)</f>
        <v>6</v>
      </c>
    </row>
    <row r="123" spans="1:11" ht="13.5" thickBot="1">
      <c r="A123" s="13"/>
      <c r="B123" s="54"/>
      <c r="C123" s="55"/>
      <c r="D123" s="13"/>
      <c r="E123" s="54"/>
      <c r="F123" s="55"/>
      <c r="G123" s="13"/>
      <c r="H123" s="13"/>
      <c r="I123" s="13"/>
      <c r="J123" s="13"/>
      <c r="K123" s="13"/>
    </row>
    <row r="125" spans="1:11" ht="20.25">
      <c r="A125" s="74" t="s">
        <v>114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ht="12.75">
      <c r="B126" s="42" t="s">
        <v>194</v>
      </c>
    </row>
    <row r="127" spans="2:5" ht="12.75" customHeight="1">
      <c r="B127" t="s">
        <v>196</v>
      </c>
      <c r="E127" s="60" t="s">
        <v>197</v>
      </c>
    </row>
    <row r="128" spans="1:6" ht="12.75">
      <c r="A128" s="73" t="s">
        <v>3</v>
      </c>
      <c r="B128" s="349">
        <f>+C122+K122</f>
        <v>8</v>
      </c>
      <c r="C128" s="350"/>
      <c r="E128" s="61" t="s">
        <v>198</v>
      </c>
      <c r="F128" s="57" t="s">
        <v>26</v>
      </c>
    </row>
    <row r="129" spans="1:6" ht="12.75">
      <c r="A129" s="72" t="s">
        <v>195</v>
      </c>
      <c r="E129" s="215">
        <v>0</v>
      </c>
      <c r="F129" s="10">
        <f>+ROUNDUP(E129/60*B128,1)</f>
        <v>0</v>
      </c>
    </row>
    <row r="130" spans="1:13" ht="13.5" thickBo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3" spans="1:12" ht="20.25">
      <c r="A133" s="22" t="s">
        <v>115</v>
      </c>
      <c r="I133" s="9"/>
      <c r="J133" s="11"/>
      <c r="L133" s="11"/>
    </row>
    <row r="134" spans="1:12" ht="18">
      <c r="A134" s="190" t="s">
        <v>116</v>
      </c>
      <c r="I134" s="9"/>
      <c r="J134" s="11"/>
      <c r="L134" s="11"/>
    </row>
    <row r="135" spans="1:12" ht="15" customHeight="1">
      <c r="A135" s="14"/>
      <c r="I135" s="9"/>
      <c r="J135" s="11"/>
      <c r="L135" s="11"/>
    </row>
    <row r="136" spans="1:12" ht="15" customHeight="1">
      <c r="A136" s="351" t="s">
        <v>199</v>
      </c>
      <c r="B136" s="352"/>
      <c r="I136" s="9"/>
      <c r="J136" s="11"/>
      <c r="L136" s="11"/>
    </row>
    <row r="137" spans="1:11" ht="15" customHeight="1">
      <c r="A137" s="353" t="s">
        <v>117</v>
      </c>
      <c r="B137" s="354"/>
      <c r="C137" s="97" t="s">
        <v>32</v>
      </c>
      <c r="D137" s="15" t="s">
        <v>1</v>
      </c>
      <c r="E137" s="16" t="s">
        <v>33</v>
      </c>
      <c r="F137" s="16" t="s">
        <v>34</v>
      </c>
      <c r="G137" s="15" t="s">
        <v>35</v>
      </c>
      <c r="H137" s="164" t="s">
        <v>2</v>
      </c>
      <c r="I137" s="15" t="s">
        <v>36</v>
      </c>
      <c r="J137" s="16" t="s">
        <v>37</v>
      </c>
      <c r="K137" s="9" t="s">
        <v>200</v>
      </c>
    </row>
    <row r="138" spans="1:11" ht="15">
      <c r="A138" s="355" t="s">
        <v>39</v>
      </c>
      <c r="B138" s="356"/>
      <c r="C138" s="140" t="s">
        <v>38</v>
      </c>
      <c r="D138" s="135">
        <f>+E34*B128</f>
        <v>2</v>
      </c>
      <c r="E138" s="135">
        <f>+E42*B128</f>
        <v>1.3333333333333333</v>
      </c>
      <c r="F138" s="135">
        <f>+K53/60+F37*B128</f>
        <v>4</v>
      </c>
      <c r="G138" s="135">
        <f>(K41-F37)*B128</f>
        <v>5.6</v>
      </c>
      <c r="H138" s="136">
        <f>+F129</f>
        <v>0</v>
      </c>
      <c r="I138" s="135">
        <f>+E57</f>
        <v>4</v>
      </c>
      <c r="J138" s="136">
        <f>+K57-K53/60</f>
        <v>1.666666666666667</v>
      </c>
      <c r="K138" s="135">
        <f>SUM(C138:J138)</f>
        <v>18.6</v>
      </c>
    </row>
    <row r="139" spans="1:11" ht="15">
      <c r="A139" s="366" t="s">
        <v>201</v>
      </c>
      <c r="B139" s="367"/>
      <c r="C139" s="136">
        <f>(C86+F86)</f>
        <v>6.3</v>
      </c>
      <c r="D139" s="136">
        <f>+(C96+F96)</f>
        <v>16.2</v>
      </c>
      <c r="E139" s="136">
        <f>(F104+C104)</f>
        <v>22.006333333333334</v>
      </c>
      <c r="F139" s="137"/>
      <c r="G139" s="136">
        <f>+(C119+F119)</f>
        <v>4.909333333333333</v>
      </c>
      <c r="H139" s="137"/>
      <c r="I139" s="137"/>
      <c r="J139" s="137"/>
      <c r="K139" s="135">
        <f>SUM(C139:J139)</f>
        <v>49.41566666666667</v>
      </c>
    </row>
    <row r="140" spans="1:2" ht="12.75">
      <c r="A140" s="146"/>
      <c r="B140" s="146"/>
    </row>
    <row r="141" spans="1:2" ht="12.75">
      <c r="A141" s="146"/>
      <c r="B141" s="146"/>
    </row>
    <row r="142" spans="1:2" ht="12.75">
      <c r="A142" s="133" t="s">
        <v>40</v>
      </c>
      <c r="B142" s="146"/>
    </row>
    <row r="143" spans="1:2" ht="12.75">
      <c r="A143" s="133" t="s">
        <v>83</v>
      </c>
      <c r="B143" s="146"/>
    </row>
    <row r="144" spans="1:2" ht="12.75">
      <c r="A144" s="146"/>
      <c r="B144" s="146"/>
    </row>
    <row r="145" spans="1:11" ht="15">
      <c r="A145" s="368" t="s">
        <v>202</v>
      </c>
      <c r="B145" s="368"/>
      <c r="C145" s="136">
        <f>+(C86+F86)/C155</f>
        <v>3.15</v>
      </c>
      <c r="D145" s="136">
        <f>+(C96+F96)/C155</f>
        <v>8.1</v>
      </c>
      <c r="E145" s="136">
        <f>(F104+C104)/C155</f>
        <v>11.003166666666667</v>
      </c>
      <c r="F145" s="137"/>
      <c r="G145" s="136">
        <f>+(C119+F119)/C155</f>
        <v>2.4546666666666663</v>
      </c>
      <c r="H145" s="137"/>
      <c r="I145" s="137"/>
      <c r="J145" s="137"/>
      <c r="K145" s="135">
        <f>SUM(C145:J145)</f>
        <v>24.707833333333333</v>
      </c>
    </row>
    <row r="146" spans="1:11" ht="15.75">
      <c r="A146" s="134" t="s">
        <v>240</v>
      </c>
      <c r="K146" s="138"/>
    </row>
    <row r="147" ht="12.75">
      <c r="K147" s="44"/>
    </row>
    <row r="148" ht="12.75">
      <c r="A148" s="5"/>
    </row>
    <row r="150" spans="1:12" ht="12.75">
      <c r="A150" s="5" t="s">
        <v>203</v>
      </c>
      <c r="B150" s="5"/>
      <c r="C150" s="12">
        <f>(C145)*$C$155</f>
        <v>6.3</v>
      </c>
      <c r="D150" s="12">
        <f>(D138+D145)*$C155</f>
        <v>20.2</v>
      </c>
      <c r="E150" s="12">
        <f>(E138+E145)*$C155</f>
        <v>24.673000000000002</v>
      </c>
      <c r="F150" s="12">
        <f>(F138+F145)*$C155</f>
        <v>8</v>
      </c>
      <c r="G150" s="12">
        <f>(G138+G145)*$C155</f>
        <v>16.109333333333332</v>
      </c>
      <c r="H150" s="12">
        <f>(H138)*$C155</f>
        <v>0</v>
      </c>
      <c r="I150" s="12">
        <f>(I138)*$C155</f>
        <v>8</v>
      </c>
      <c r="J150" s="12">
        <f>(J138)*$C155</f>
        <v>3.333333333333334</v>
      </c>
      <c r="K150" s="18">
        <f>SUM(C150:J150)</f>
        <v>86.61566666666666</v>
      </c>
      <c r="L150" s="44" t="s">
        <v>211</v>
      </c>
    </row>
    <row r="151" spans="1:12" ht="15">
      <c r="A151" s="5" t="s">
        <v>204</v>
      </c>
      <c r="B151" s="5"/>
      <c r="C151" s="12">
        <f aca="true" t="shared" si="4" ref="C151:J151">+C150/$C$156</f>
        <v>0.7875</v>
      </c>
      <c r="D151" s="12">
        <f t="shared" si="4"/>
        <v>2.525</v>
      </c>
      <c r="E151" s="12">
        <f t="shared" si="4"/>
        <v>3.0841250000000002</v>
      </c>
      <c r="F151" s="12">
        <f t="shared" si="4"/>
        <v>1</v>
      </c>
      <c r="G151" s="12">
        <f t="shared" si="4"/>
        <v>2.0136666666666665</v>
      </c>
      <c r="H151" s="12">
        <f t="shared" si="4"/>
        <v>0</v>
      </c>
      <c r="I151" s="12">
        <f t="shared" si="4"/>
        <v>1</v>
      </c>
      <c r="J151" s="12">
        <f t="shared" si="4"/>
        <v>0.41666666666666674</v>
      </c>
      <c r="K151" s="135">
        <f>SUM(C151:J151)</f>
        <v>10.826958333333332</v>
      </c>
      <c r="L151" s="44" t="s">
        <v>212</v>
      </c>
    </row>
    <row r="153" ht="12.75">
      <c r="K153" s="9" t="s">
        <v>8</v>
      </c>
    </row>
    <row r="155" spans="1:11" ht="15.75">
      <c r="A155" s="153" t="s">
        <v>205</v>
      </c>
      <c r="B155" s="149"/>
      <c r="C155" s="191">
        <v>2</v>
      </c>
      <c r="D155" s="149"/>
      <c r="G155" s="139" t="s">
        <v>70</v>
      </c>
      <c r="H155" s="228">
        <v>0.1</v>
      </c>
      <c r="J155" s="139" t="s">
        <v>206</v>
      </c>
      <c r="K155" s="154">
        <f>+K151*H155</f>
        <v>1.0826958333333332</v>
      </c>
    </row>
    <row r="156" spans="1:11" ht="15">
      <c r="A156" s="153" t="s">
        <v>54</v>
      </c>
      <c r="B156" s="153"/>
      <c r="C156" s="191">
        <v>8</v>
      </c>
      <c r="D156" s="149" t="s">
        <v>19</v>
      </c>
      <c r="K156" s="9" t="s">
        <v>9</v>
      </c>
    </row>
    <row r="157" spans="10:11" ht="15.75">
      <c r="J157" s="94" t="s">
        <v>207</v>
      </c>
      <c r="K157" s="154">
        <f>+K155+K151</f>
        <v>11.909654166666666</v>
      </c>
    </row>
    <row r="158" ht="12.75">
      <c r="K158" s="9" t="s">
        <v>15</v>
      </c>
    </row>
    <row r="159" spans="10:11" ht="15.75">
      <c r="J159" s="94" t="s">
        <v>208</v>
      </c>
      <c r="K159" s="154">
        <f>+K157*C156/(C156-E22)*E22/C156</f>
        <v>4.470385947946514</v>
      </c>
    </row>
    <row r="160" ht="12.75">
      <c r="K160" s="9" t="s">
        <v>13</v>
      </c>
    </row>
    <row r="161" spans="10:11" ht="15.75">
      <c r="J161" s="94" t="s">
        <v>209</v>
      </c>
      <c r="K161" s="154">
        <f>+K159+K157</f>
        <v>16.38004011461318</v>
      </c>
    </row>
    <row r="162" ht="14.25">
      <c r="I162" s="37"/>
    </row>
    <row r="163" ht="15.75">
      <c r="E163" s="94"/>
    </row>
    <row r="165" ht="16.5" thickBot="1">
      <c r="C165" s="81"/>
    </row>
    <row r="166" spans="2:7" ht="23.25" customHeight="1" thickBot="1" thickTop="1">
      <c r="B166" s="369" t="s">
        <v>41</v>
      </c>
      <c r="C166" s="370"/>
      <c r="D166" s="370"/>
      <c r="E166" s="370"/>
      <c r="F166" s="370"/>
      <c r="G166" s="371"/>
    </row>
    <row r="167" spans="2:11" ht="22.5" customHeight="1" thickBot="1">
      <c r="B167" s="359" t="s">
        <v>72</v>
      </c>
      <c r="C167" s="360"/>
      <c r="D167" s="360"/>
      <c r="E167" s="361"/>
      <c r="F167" s="249" t="s">
        <v>210</v>
      </c>
      <c r="G167" s="347" t="s">
        <v>16</v>
      </c>
      <c r="J167" s="65">
        <f>+F80+B80</f>
        <v>319</v>
      </c>
      <c r="K167" t="s">
        <v>87</v>
      </c>
    </row>
    <row r="168" spans="2:7" ht="18.75" customHeight="1" thickBot="1">
      <c r="B168" s="121" t="s">
        <v>42</v>
      </c>
      <c r="C168" s="119" t="s">
        <v>71</v>
      </c>
      <c r="D168" s="362" t="s">
        <v>43</v>
      </c>
      <c r="E168" s="363"/>
      <c r="F168" s="120" t="s">
        <v>44</v>
      </c>
      <c r="G168" s="348"/>
    </row>
    <row r="169" spans="2:11" ht="21" customHeight="1" thickBot="1">
      <c r="B169" s="155">
        <f>+K151</f>
        <v>10.826958333333332</v>
      </c>
      <c r="C169" s="156">
        <f>+K155</f>
        <v>1.0826958333333332</v>
      </c>
      <c r="D169" s="364">
        <f>+K157</f>
        <v>11.909654166666666</v>
      </c>
      <c r="E169" s="365"/>
      <c r="F169" s="157">
        <f>+K159</f>
        <v>4.470385947946514</v>
      </c>
      <c r="G169" s="158">
        <f>+D169+F169</f>
        <v>16.38004011461318</v>
      </c>
      <c r="H169" s="345" t="s">
        <v>45</v>
      </c>
      <c r="I169" s="346"/>
      <c r="J169" s="159">
        <f>+J167/G169</f>
        <v>19.474921780894142</v>
      </c>
      <c r="K169" t="s">
        <v>89</v>
      </c>
    </row>
    <row r="170" spans="2:7" ht="21" customHeight="1" thickTop="1">
      <c r="B170" s="126">
        <f>+B169/$G$169</f>
        <v>0.6609848484848484</v>
      </c>
      <c r="C170" s="126">
        <f>+C169/$G$169</f>
        <v>0.06609848484848484</v>
      </c>
      <c r="D170" s="357">
        <f>+C170+B170</f>
        <v>0.7270833333333332</v>
      </c>
      <c r="E170" s="358"/>
      <c r="F170" s="126">
        <f>+F169/$G$169</f>
        <v>0.27291666666666664</v>
      </c>
      <c r="G170" s="128">
        <f>+F170+D170</f>
        <v>0.9999999999999998</v>
      </c>
    </row>
    <row r="171" spans="1:9" ht="15.75">
      <c r="A171" s="19"/>
      <c r="B171" s="19"/>
      <c r="I171" s="5"/>
    </row>
    <row r="172" spans="1:6" ht="12.75">
      <c r="A172" s="2"/>
      <c r="B172" s="2"/>
      <c r="F172" s="5"/>
    </row>
    <row r="173" ht="12.75">
      <c r="I173" s="5"/>
    </row>
    <row r="174" spans="1:9" ht="15.75">
      <c r="A174" s="19"/>
      <c r="B174" s="19"/>
      <c r="I174" s="5"/>
    </row>
  </sheetData>
  <mergeCells count="75">
    <mergeCell ref="D170:E170"/>
    <mergeCell ref="C48:C49"/>
    <mergeCell ref="D48:D49"/>
    <mergeCell ref="E48:E49"/>
    <mergeCell ref="B167:E167"/>
    <mergeCell ref="D168:E168"/>
    <mergeCell ref="D169:E169"/>
    <mergeCell ref="A139:B139"/>
    <mergeCell ref="A145:B145"/>
    <mergeCell ref="B166:G166"/>
    <mergeCell ref="H169:I169"/>
    <mergeCell ref="G167:G168"/>
    <mergeCell ref="B128:C128"/>
    <mergeCell ref="A136:B136"/>
    <mergeCell ref="A137:B137"/>
    <mergeCell ref="A138:B138"/>
    <mergeCell ref="J119:K119"/>
    <mergeCell ref="G120:H120"/>
    <mergeCell ref="J120:K120"/>
    <mergeCell ref="H122:J122"/>
    <mergeCell ref="G116:K116"/>
    <mergeCell ref="B117:B118"/>
    <mergeCell ref="E117:E118"/>
    <mergeCell ref="F117:F118"/>
    <mergeCell ref="G107:G108"/>
    <mergeCell ref="H107:H108"/>
    <mergeCell ref="I107:I108"/>
    <mergeCell ref="I114:J114"/>
    <mergeCell ref="I112:K112"/>
    <mergeCell ref="I113:K113"/>
    <mergeCell ref="J109:K109"/>
    <mergeCell ref="J108:K108"/>
    <mergeCell ref="G103:J103"/>
    <mergeCell ref="K103:K104"/>
    <mergeCell ref="G104:J104"/>
    <mergeCell ref="G106:K106"/>
    <mergeCell ref="G97:K97"/>
    <mergeCell ref="G99:J100"/>
    <mergeCell ref="K99:K100"/>
    <mergeCell ref="B100:B101"/>
    <mergeCell ref="B92:B93"/>
    <mergeCell ref="E92:E93"/>
    <mergeCell ref="G92:H92"/>
    <mergeCell ref="G93:H93"/>
    <mergeCell ref="I89:I90"/>
    <mergeCell ref="J89:J90"/>
    <mergeCell ref="K89:K90"/>
    <mergeCell ref="G91:H91"/>
    <mergeCell ref="B75:C75"/>
    <mergeCell ref="E75:F75"/>
    <mergeCell ref="F83:F85"/>
    <mergeCell ref="G88:K88"/>
    <mergeCell ref="G52:H52"/>
    <mergeCell ref="G54:H54"/>
    <mergeCell ref="G55:H55"/>
    <mergeCell ref="B74:C74"/>
    <mergeCell ref="E74:F74"/>
    <mergeCell ref="J48:J49"/>
    <mergeCell ref="K48:K49"/>
    <mergeCell ref="G50:H50"/>
    <mergeCell ref="G51:H51"/>
    <mergeCell ref="I48:I49"/>
    <mergeCell ref="I27:I28"/>
    <mergeCell ref="J27:J28"/>
    <mergeCell ref="K27:K28"/>
    <mergeCell ref="C36:C37"/>
    <mergeCell ref="D36:D37"/>
    <mergeCell ref="E36:E37"/>
    <mergeCell ref="C27:C28"/>
    <mergeCell ref="D27:D28"/>
    <mergeCell ref="E27:E28"/>
    <mergeCell ref="C10:C11"/>
    <mergeCell ref="D10:D11"/>
    <mergeCell ref="E10:E11"/>
    <mergeCell ref="H10:K11"/>
  </mergeCells>
  <printOptions/>
  <pageMargins left="0.75" right="0.75" top="1" bottom="1" header="0.5" footer="0.5"/>
  <pageSetup cellComments="asDisplayed" horizontalDpi="600" verticalDpi="600" orientation="landscape" scale="67" r:id="rId4"/>
  <headerFooter alignWithMargins="0">
    <oddFooter>&amp;LFile : &amp;F
Sheet : &amp;A
Page &amp;P of &amp;N&amp;CExperimental Mine
Val-d'Or&amp;R&amp;D
&amp;T</oddFooter>
  </headerFooter>
  <rowBreaks count="3" manualBreakCount="3">
    <brk id="81" max="10" man="1"/>
    <brk id="114" max="10" man="1"/>
    <brk id="131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0"/>
  <sheetViews>
    <sheetView zoomScale="66" zoomScaleNormal="66" zoomScaleSheetLayoutView="50" workbookViewId="0" topLeftCell="B1">
      <selection activeCell="H3" sqref="H3"/>
    </sheetView>
  </sheetViews>
  <sheetFormatPr defaultColWidth="9.140625" defaultRowHeight="12.75"/>
  <cols>
    <col min="1" max="1" width="24.28125" style="0" customWidth="1"/>
    <col min="2" max="2" width="14.7109375" style="0" customWidth="1"/>
    <col min="3" max="3" width="13.421875" style="0" customWidth="1"/>
    <col min="4" max="4" width="11.8515625" style="0" customWidth="1"/>
    <col min="5" max="5" width="12.28125" style="0" customWidth="1"/>
    <col min="6" max="6" width="15.28125" style="0" customWidth="1"/>
    <col min="7" max="7" width="11.8515625" style="0" customWidth="1"/>
    <col min="8" max="8" width="14.57421875" style="0" customWidth="1"/>
    <col min="9" max="9" width="12.140625" style="0" customWidth="1"/>
    <col min="10" max="10" width="11.421875" style="0" customWidth="1"/>
    <col min="11" max="13" width="11.00390625" style="0" customWidth="1"/>
    <col min="14" max="14" width="9.7109375" style="0" customWidth="1"/>
    <col min="15" max="16384" width="11.421875" style="0" customWidth="1"/>
  </cols>
  <sheetData>
    <row r="2" ht="36.75">
      <c r="A2" s="1" t="s">
        <v>100</v>
      </c>
    </row>
    <row r="3" spans="1:2" ht="36.75">
      <c r="A3" s="1" t="s">
        <v>102</v>
      </c>
      <c r="B3" s="1"/>
    </row>
    <row r="4" spans="1:14" ht="32.25" customHeight="1" thickBot="1">
      <c r="A4" s="99"/>
      <c r="B4" s="99"/>
      <c r="C4" s="100"/>
      <c r="D4" s="100"/>
      <c r="E4" s="100"/>
      <c r="F4" s="100"/>
      <c r="G4" s="100"/>
      <c r="H4" s="100"/>
      <c r="I4" s="173"/>
      <c r="J4" s="173" t="s">
        <v>274</v>
      </c>
      <c r="K4" s="100"/>
      <c r="L4" s="100"/>
      <c r="M4" s="100"/>
      <c r="N4" s="100"/>
    </row>
    <row r="5" ht="13.5" thickTop="1"/>
    <row r="6" spans="1:2" ht="22.5" customHeight="1">
      <c r="A6" s="56" t="s">
        <v>90</v>
      </c>
      <c r="B6" s="22"/>
    </row>
    <row r="7" spans="1:2" ht="9.75" customHeight="1" thickBot="1">
      <c r="A7" s="22"/>
      <c r="B7" s="22"/>
    </row>
    <row r="8" spans="1:11" ht="15" customHeight="1">
      <c r="A8" s="22"/>
      <c r="B8" s="22"/>
      <c r="C8" s="277" t="s">
        <v>64</v>
      </c>
      <c r="D8" s="279" t="s">
        <v>143</v>
      </c>
      <c r="E8" s="281" t="s">
        <v>120</v>
      </c>
      <c r="H8" s="283" t="s">
        <v>5</v>
      </c>
      <c r="I8" s="284"/>
      <c r="J8" s="284"/>
      <c r="K8" s="285"/>
    </row>
    <row r="9" spans="1:11" ht="15" customHeight="1" thickBot="1">
      <c r="A9" s="22"/>
      <c r="B9" s="22"/>
      <c r="C9" s="278"/>
      <c r="D9" s="280"/>
      <c r="E9" s="282"/>
      <c r="H9" s="286"/>
      <c r="I9" s="287"/>
      <c r="J9" s="287"/>
      <c r="K9" s="288"/>
    </row>
    <row r="10" spans="1:11" ht="15" customHeight="1">
      <c r="A10" s="256" t="s">
        <v>60</v>
      </c>
      <c r="B10" s="26"/>
      <c r="C10" s="187">
        <v>2</v>
      </c>
      <c r="D10" s="187">
        <v>10</v>
      </c>
      <c r="E10" s="27">
        <f>+D10*C10</f>
        <v>20</v>
      </c>
      <c r="H10" s="177"/>
      <c r="I10" s="175"/>
      <c r="J10" s="175"/>
      <c r="K10" s="176"/>
    </row>
    <row r="11" spans="1:11" ht="15" customHeight="1">
      <c r="A11" s="256" t="s">
        <v>92</v>
      </c>
      <c r="B11" s="26"/>
      <c r="C11" s="187">
        <v>2</v>
      </c>
      <c r="D11" s="187">
        <v>2</v>
      </c>
      <c r="E11" s="27">
        <f>+D11*C11</f>
        <v>4</v>
      </c>
      <c r="H11" s="177" t="s">
        <v>103</v>
      </c>
      <c r="I11" s="178"/>
      <c r="J11" s="178"/>
      <c r="K11" s="179"/>
    </row>
    <row r="12" spans="1:11" ht="15" customHeight="1">
      <c r="A12" s="256" t="s">
        <v>93</v>
      </c>
      <c r="B12" s="26"/>
      <c r="C12" s="187">
        <v>1</v>
      </c>
      <c r="D12" s="187">
        <v>10</v>
      </c>
      <c r="E12" s="27">
        <f aca="true" t="shared" si="0" ref="E12:E18">+D12*C12</f>
        <v>10</v>
      </c>
      <c r="F12" s="4"/>
      <c r="H12" s="177"/>
      <c r="I12" s="178"/>
      <c r="J12" s="178"/>
      <c r="K12" s="179"/>
    </row>
    <row r="13" spans="1:11" ht="15" customHeight="1">
      <c r="A13" s="256" t="s">
        <v>61</v>
      </c>
      <c r="B13" s="26"/>
      <c r="C13" s="187">
        <v>2</v>
      </c>
      <c r="D13" s="187">
        <v>10</v>
      </c>
      <c r="E13" s="27">
        <f t="shared" si="0"/>
        <v>20</v>
      </c>
      <c r="H13" s="177" t="s">
        <v>147</v>
      </c>
      <c r="I13" s="178"/>
      <c r="J13" s="178"/>
      <c r="K13" s="179"/>
    </row>
    <row r="14" spans="1:11" ht="15" customHeight="1">
      <c r="A14" s="256" t="s">
        <v>62</v>
      </c>
      <c r="B14" s="26"/>
      <c r="C14" s="187">
        <v>1</v>
      </c>
      <c r="D14" s="187">
        <v>15</v>
      </c>
      <c r="E14" s="27">
        <f t="shared" si="0"/>
        <v>15</v>
      </c>
      <c r="H14" s="177"/>
      <c r="I14" s="178"/>
      <c r="J14" s="178"/>
      <c r="K14" s="179"/>
    </row>
    <row r="15" spans="1:11" ht="15" customHeight="1">
      <c r="A15" s="256" t="s">
        <v>63</v>
      </c>
      <c r="B15" s="26"/>
      <c r="C15" s="187">
        <v>1</v>
      </c>
      <c r="D15" s="187">
        <v>10</v>
      </c>
      <c r="E15" s="27">
        <f t="shared" si="0"/>
        <v>10</v>
      </c>
      <c r="H15" s="177" t="s">
        <v>104</v>
      </c>
      <c r="I15" s="178"/>
      <c r="J15" s="178"/>
      <c r="K15" s="179"/>
    </row>
    <row r="16" spans="1:11" ht="15" customHeight="1">
      <c r="A16" s="256" t="s">
        <v>98</v>
      </c>
      <c r="B16" s="26"/>
      <c r="C16" s="187">
        <v>1</v>
      </c>
      <c r="D16" s="187">
        <v>12</v>
      </c>
      <c r="E16" s="27">
        <f t="shared" si="0"/>
        <v>12</v>
      </c>
      <c r="H16" s="177" t="s">
        <v>105</v>
      </c>
      <c r="I16" s="178"/>
      <c r="J16" s="178"/>
      <c r="K16" s="179"/>
    </row>
    <row r="17" spans="1:11" ht="15" customHeight="1">
      <c r="A17" s="256" t="s">
        <v>0</v>
      </c>
      <c r="B17" s="26"/>
      <c r="C17" s="187">
        <v>1</v>
      </c>
      <c r="D17" s="187">
        <v>30</v>
      </c>
      <c r="E17" s="27">
        <f t="shared" si="0"/>
        <v>30</v>
      </c>
      <c r="H17" s="177"/>
      <c r="I17" s="178"/>
      <c r="J17" s="178"/>
      <c r="K17" s="179"/>
    </row>
    <row r="18" spans="1:11" ht="15" customHeight="1" thickBot="1">
      <c r="A18" s="257" t="s">
        <v>86</v>
      </c>
      <c r="B18" s="188"/>
      <c r="C18" s="187">
        <v>1</v>
      </c>
      <c r="D18" s="187">
        <v>10</v>
      </c>
      <c r="E18" s="28">
        <f t="shared" si="0"/>
        <v>10</v>
      </c>
      <c r="H18" s="177"/>
      <c r="I18" s="178"/>
      <c r="J18" s="178"/>
      <c r="K18" s="179"/>
    </row>
    <row r="19" spans="1:11" ht="15" customHeight="1" thickBot="1">
      <c r="A19" s="23"/>
      <c r="B19" s="23"/>
      <c r="C19" s="23"/>
      <c r="D19" s="23"/>
      <c r="E19" s="29">
        <f>SUM(E10:E18)</f>
        <v>131</v>
      </c>
      <c r="F19" s="24" t="s">
        <v>6</v>
      </c>
      <c r="H19" s="180"/>
      <c r="I19" s="181"/>
      <c r="J19" s="181"/>
      <c r="K19" s="182"/>
    </row>
    <row r="20" spans="1:6" ht="15" customHeight="1">
      <c r="A20" s="23"/>
      <c r="B20" s="23"/>
      <c r="C20" s="23"/>
      <c r="D20" s="23"/>
      <c r="E20" s="30">
        <f>+E19/60</f>
        <v>2.183333333333333</v>
      </c>
      <c r="F20" s="24" t="s">
        <v>20</v>
      </c>
    </row>
    <row r="21" spans="1:5" ht="14.25">
      <c r="A21" s="23"/>
      <c r="B21" s="23"/>
      <c r="C21" s="23"/>
      <c r="D21" s="23"/>
      <c r="E21" s="23"/>
    </row>
    <row r="22" spans="1:14" ht="15" thickBot="1">
      <c r="A22" s="98"/>
      <c r="B22" s="98"/>
      <c r="C22" s="98"/>
      <c r="D22" s="98"/>
      <c r="E22" s="98"/>
      <c r="F22" s="13"/>
      <c r="G22" s="13"/>
      <c r="H22" s="13"/>
      <c r="I22" s="13"/>
      <c r="J22" s="13"/>
      <c r="K22" s="13"/>
      <c r="L22" s="13"/>
      <c r="M22" s="13"/>
      <c r="N22" s="13"/>
    </row>
    <row r="23" spans="1:4" ht="12.75">
      <c r="A23" s="5"/>
      <c r="B23" s="5"/>
      <c r="C23" s="5"/>
      <c r="D23" s="5"/>
    </row>
    <row r="24" spans="1:5" ht="23.25">
      <c r="A24" s="56" t="s">
        <v>106</v>
      </c>
      <c r="B24" s="22"/>
      <c r="C24" s="5"/>
      <c r="D24" s="5"/>
      <c r="E24" s="5"/>
    </row>
    <row r="25" spans="1:5" ht="15.75" customHeight="1" thickBot="1">
      <c r="A25" s="22"/>
      <c r="B25" s="22"/>
      <c r="C25" s="5"/>
      <c r="D25" s="5"/>
      <c r="E25" s="5"/>
    </row>
    <row r="26" spans="1:12" ht="19.5" customHeight="1">
      <c r="A26" s="21" t="s">
        <v>18</v>
      </c>
      <c r="C26" s="277" t="s">
        <v>64</v>
      </c>
      <c r="D26" s="279" t="s">
        <v>143</v>
      </c>
      <c r="E26" s="281" t="s">
        <v>120</v>
      </c>
      <c r="G26" s="189" t="s">
        <v>118</v>
      </c>
      <c r="J26" s="277" t="s">
        <v>64</v>
      </c>
      <c r="K26" s="279" t="s">
        <v>143</v>
      </c>
      <c r="L26" s="281" t="s">
        <v>120</v>
      </c>
    </row>
    <row r="27" spans="1:12" ht="18.75" thickBot="1">
      <c r="A27" s="21" t="s">
        <v>1</v>
      </c>
      <c r="C27" s="278"/>
      <c r="D27" s="280"/>
      <c r="E27" s="282"/>
      <c r="G27" s="189" t="s">
        <v>35</v>
      </c>
      <c r="J27" s="278"/>
      <c r="K27" s="280"/>
      <c r="L27" s="282"/>
    </row>
    <row r="28" spans="1:12" ht="14.25">
      <c r="A28" s="256" t="s">
        <v>213</v>
      </c>
      <c r="B28" s="24"/>
      <c r="C28" s="187">
        <v>1</v>
      </c>
      <c r="D28" s="187">
        <v>15</v>
      </c>
      <c r="E28" s="27">
        <f>+D28*C28</f>
        <v>15</v>
      </c>
      <c r="G28" s="26" t="s">
        <v>65</v>
      </c>
      <c r="I28" s="26"/>
      <c r="J28" s="187">
        <v>1</v>
      </c>
      <c r="K28" s="187">
        <v>5</v>
      </c>
      <c r="L28" s="27">
        <f aca="true" t="shared" si="1" ref="L28:L34">+K28*J28</f>
        <v>5</v>
      </c>
    </row>
    <row r="29" spans="1:12" ht="14.25">
      <c r="A29" s="256" t="s">
        <v>122</v>
      </c>
      <c r="B29" s="24"/>
      <c r="C29" s="187"/>
      <c r="D29" s="187"/>
      <c r="E29" s="27">
        <f>+D29*C29</f>
        <v>0</v>
      </c>
      <c r="G29" s="26" t="s">
        <v>97</v>
      </c>
      <c r="I29" s="26"/>
      <c r="J29" s="187">
        <v>1</v>
      </c>
      <c r="K29" s="187">
        <v>6</v>
      </c>
      <c r="L29" s="27">
        <f t="shared" si="1"/>
        <v>6</v>
      </c>
    </row>
    <row r="30" spans="1:12" ht="14.25">
      <c r="A30" s="256" t="s">
        <v>96</v>
      </c>
      <c r="C30" s="187">
        <v>1</v>
      </c>
      <c r="D30" s="187">
        <v>5</v>
      </c>
      <c r="E30" s="27">
        <f>+D30*C30</f>
        <v>5</v>
      </c>
      <c r="G30" s="26" t="s">
        <v>95</v>
      </c>
      <c r="I30" s="26"/>
      <c r="J30" s="187">
        <v>1</v>
      </c>
      <c r="K30" s="187">
        <v>5</v>
      </c>
      <c r="L30" s="27">
        <f t="shared" si="1"/>
        <v>5</v>
      </c>
    </row>
    <row r="31" spans="1:12" ht="15" thickBot="1">
      <c r="A31" s="258"/>
      <c r="B31" s="194"/>
      <c r="C31" s="187"/>
      <c r="D31" s="187"/>
      <c r="E31" s="27">
        <f>+D31*C31</f>
        <v>0</v>
      </c>
      <c r="G31" s="26" t="s">
        <v>131</v>
      </c>
      <c r="I31" s="26"/>
      <c r="J31" s="187"/>
      <c r="K31" s="187"/>
      <c r="L31" s="27">
        <f t="shared" si="1"/>
        <v>0</v>
      </c>
    </row>
    <row r="32" spans="1:12" ht="15" thickBot="1">
      <c r="A32" s="31"/>
      <c r="B32" s="24"/>
      <c r="C32" s="23"/>
      <c r="D32" s="37" t="s">
        <v>128</v>
      </c>
      <c r="E32" s="29">
        <f>SUM(E28:E31)</f>
        <v>20</v>
      </c>
      <c r="G32" s="26" t="s">
        <v>94</v>
      </c>
      <c r="I32" s="26"/>
      <c r="J32" s="187">
        <v>1</v>
      </c>
      <c r="K32" s="187">
        <v>8</v>
      </c>
      <c r="L32" s="27">
        <f t="shared" si="1"/>
        <v>8</v>
      </c>
    </row>
    <row r="33" spans="2:12" ht="14.25">
      <c r="B33" s="24"/>
      <c r="C33" s="24"/>
      <c r="D33" s="37" t="s">
        <v>129</v>
      </c>
      <c r="E33" s="30">
        <f>+E32/60</f>
        <v>0.3333333333333333</v>
      </c>
      <c r="G33" s="26" t="s">
        <v>125</v>
      </c>
      <c r="I33" s="26"/>
      <c r="J33" s="187">
        <v>1</v>
      </c>
      <c r="K33" s="187">
        <v>5</v>
      </c>
      <c r="L33" s="27">
        <f t="shared" si="1"/>
        <v>5</v>
      </c>
    </row>
    <row r="34" spans="7:12" ht="15.75" customHeight="1" thickBot="1">
      <c r="G34" s="26" t="s">
        <v>126</v>
      </c>
      <c r="I34" s="26"/>
      <c r="J34" s="187">
        <v>1</v>
      </c>
      <c r="K34" s="187">
        <v>5</v>
      </c>
      <c r="L34" s="27">
        <f t="shared" si="1"/>
        <v>5</v>
      </c>
    </row>
    <row r="35" spans="3:12" ht="14.25" customHeight="1">
      <c r="C35" s="277" t="s">
        <v>64</v>
      </c>
      <c r="D35" s="279" t="s">
        <v>143</v>
      </c>
      <c r="E35" s="281" t="s">
        <v>120</v>
      </c>
      <c r="G35" s="26" t="s">
        <v>127</v>
      </c>
      <c r="I35" s="26"/>
      <c r="J35" s="187">
        <v>1</v>
      </c>
      <c r="K35" s="187">
        <v>2</v>
      </c>
      <c r="L35" s="27">
        <f>+K35*J35</f>
        <v>2</v>
      </c>
    </row>
    <row r="36" spans="1:12" ht="18.75" thickBot="1">
      <c r="A36" s="39" t="s">
        <v>17</v>
      </c>
      <c r="B36" s="5"/>
      <c r="C36" s="278"/>
      <c r="D36" s="280"/>
      <c r="E36" s="282"/>
      <c r="G36" s="172" t="s">
        <v>214</v>
      </c>
      <c r="I36" s="26"/>
      <c r="J36" s="183"/>
      <c r="K36" s="195"/>
      <c r="L36" s="27">
        <f>+K36</f>
        <v>0</v>
      </c>
    </row>
    <row r="37" spans="1:12" ht="14.25">
      <c r="A37" s="256" t="s">
        <v>123</v>
      </c>
      <c r="B37" s="24"/>
      <c r="C37" s="187">
        <v>1</v>
      </c>
      <c r="D37" s="187">
        <v>5</v>
      </c>
      <c r="E37" s="27">
        <f>+D37*C37</f>
        <v>5</v>
      </c>
      <c r="G37" s="188"/>
      <c r="H37" s="218"/>
      <c r="I37" s="188"/>
      <c r="J37" s="187"/>
      <c r="K37" s="187"/>
      <c r="L37" s="27">
        <f>+K37*J37</f>
        <v>0</v>
      </c>
    </row>
    <row r="38" spans="1:12" ht="15" thickBot="1">
      <c r="A38" s="256" t="s">
        <v>124</v>
      </c>
      <c r="B38" s="24"/>
      <c r="C38" s="187">
        <v>1</v>
      </c>
      <c r="D38" s="187">
        <v>5</v>
      </c>
      <c r="E38" s="27">
        <f>+D38*C38</f>
        <v>5</v>
      </c>
      <c r="F38" s="24"/>
      <c r="G38" s="188"/>
      <c r="H38" s="218"/>
      <c r="I38" s="188"/>
      <c r="J38" s="187"/>
      <c r="K38" s="187"/>
      <c r="L38" s="27">
        <f>+K38*J38</f>
        <v>0</v>
      </c>
    </row>
    <row r="39" spans="1:14" ht="15" thickBot="1">
      <c r="A39" s="258"/>
      <c r="B39" s="194"/>
      <c r="C39" s="187"/>
      <c r="D39" s="187"/>
      <c r="E39" s="27">
        <f>+D39*C39</f>
        <v>0</v>
      </c>
      <c r="G39" s="31"/>
      <c r="H39" s="31"/>
      <c r="J39" s="23"/>
      <c r="K39" s="37" t="s">
        <v>130</v>
      </c>
      <c r="L39" s="29">
        <f>SUM(L28:L38)</f>
        <v>36</v>
      </c>
      <c r="N39" s="229"/>
    </row>
    <row r="40" spans="1:12" ht="15" thickBot="1">
      <c r="A40" s="24"/>
      <c r="B40" s="24"/>
      <c r="C40" s="24"/>
      <c r="D40" s="37" t="s">
        <v>128</v>
      </c>
      <c r="E40" s="29">
        <f>SUM(E37:E39)</f>
        <v>10</v>
      </c>
      <c r="G40" s="31"/>
      <c r="H40" s="31"/>
      <c r="J40" s="23"/>
      <c r="K40" s="37" t="s">
        <v>66</v>
      </c>
      <c r="L40" s="30">
        <f>+L39/60</f>
        <v>0.6</v>
      </c>
    </row>
    <row r="41" spans="1:10" ht="14.25">
      <c r="A41" s="24"/>
      <c r="B41" s="24"/>
      <c r="C41" s="24"/>
      <c r="D41" s="37" t="s">
        <v>129</v>
      </c>
      <c r="E41" s="30">
        <f>+E40/60</f>
        <v>0.16666666666666666</v>
      </c>
      <c r="J41" s="229"/>
    </row>
    <row r="43" spans="1:14" ht="13.5" thickBo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5" spans="1:13" ht="23.25">
      <c r="A45" s="56" t="s">
        <v>91</v>
      </c>
      <c r="M45" s="5"/>
    </row>
    <row r="46" ht="6.75" customHeight="1">
      <c r="M46" s="5"/>
    </row>
    <row r="47" spans="1:3" ht="18.75" thickBot="1">
      <c r="A47" s="40"/>
      <c r="C47" s="62"/>
    </row>
    <row r="48" spans="1:12" ht="18" customHeight="1">
      <c r="A48" s="40" t="s">
        <v>21</v>
      </c>
      <c r="C48" s="277" t="s">
        <v>64</v>
      </c>
      <c r="D48" s="279" t="s">
        <v>143</v>
      </c>
      <c r="E48" s="281" t="s">
        <v>120</v>
      </c>
      <c r="G48" s="39" t="s">
        <v>107</v>
      </c>
      <c r="J48" s="277" t="s">
        <v>64</v>
      </c>
      <c r="K48" s="279" t="s">
        <v>143</v>
      </c>
      <c r="L48" s="281" t="s">
        <v>120</v>
      </c>
    </row>
    <row r="49" spans="1:12" ht="18.75" thickBot="1">
      <c r="A49" s="62" t="s">
        <v>258</v>
      </c>
      <c r="B49" s="34"/>
      <c r="C49" s="278"/>
      <c r="D49" s="280"/>
      <c r="E49" s="282"/>
      <c r="G49" s="39" t="s">
        <v>108</v>
      </c>
      <c r="J49" s="278"/>
      <c r="K49" s="280"/>
      <c r="L49" s="282"/>
    </row>
    <row r="50" spans="1:12" ht="12.75" customHeight="1">
      <c r="A50" s="26" t="s">
        <v>133</v>
      </c>
      <c r="B50" s="26"/>
      <c r="C50" s="210">
        <v>4</v>
      </c>
      <c r="D50" s="217">
        <v>20</v>
      </c>
      <c r="E50" s="27">
        <f aca="true" t="shared" si="2" ref="E50:E55">+D50*$C$50</f>
        <v>80</v>
      </c>
      <c r="F50" s="24"/>
      <c r="G50" s="289" t="s">
        <v>136</v>
      </c>
      <c r="H50" s="428"/>
      <c r="J50" s="217">
        <v>2</v>
      </c>
      <c r="K50" s="187">
        <v>20</v>
      </c>
      <c r="L50" s="27">
        <f aca="true" t="shared" si="3" ref="L50:L55">+K50*J50</f>
        <v>40</v>
      </c>
    </row>
    <row r="51" spans="1:12" ht="14.25">
      <c r="A51" s="26" t="s">
        <v>67</v>
      </c>
      <c r="B51" s="26"/>
      <c r="C51" s="227"/>
      <c r="D51" s="187">
        <v>70</v>
      </c>
      <c r="E51" s="27">
        <f t="shared" si="2"/>
        <v>280</v>
      </c>
      <c r="F51" s="24"/>
      <c r="G51" s="289" t="s">
        <v>22</v>
      </c>
      <c r="H51" s="428"/>
      <c r="J51" s="187">
        <v>1</v>
      </c>
      <c r="K51" s="187">
        <v>30</v>
      </c>
      <c r="L51" s="27">
        <f t="shared" si="3"/>
        <v>30</v>
      </c>
    </row>
    <row r="52" spans="1:12" ht="14.25">
      <c r="A52" s="26" t="s">
        <v>134</v>
      </c>
      <c r="B52" s="26"/>
      <c r="C52" s="227"/>
      <c r="D52" s="187">
        <v>120</v>
      </c>
      <c r="E52" s="27">
        <f t="shared" si="2"/>
        <v>480</v>
      </c>
      <c r="F52" s="24"/>
      <c r="G52" s="289" t="s">
        <v>74</v>
      </c>
      <c r="H52" s="428"/>
      <c r="I52" s="429"/>
      <c r="J52" s="187">
        <v>1</v>
      </c>
      <c r="K52" s="187">
        <v>15</v>
      </c>
      <c r="L52" s="27">
        <f t="shared" si="3"/>
        <v>15</v>
      </c>
    </row>
    <row r="53" spans="1:12" ht="18">
      <c r="A53" s="26" t="s">
        <v>96</v>
      </c>
      <c r="B53" s="26"/>
      <c r="C53" s="227"/>
      <c r="D53" s="187">
        <v>30</v>
      </c>
      <c r="E53" s="27">
        <f t="shared" si="2"/>
        <v>120</v>
      </c>
      <c r="F53" s="24"/>
      <c r="G53" s="172" t="s">
        <v>215</v>
      </c>
      <c r="J53" s="187">
        <v>4</v>
      </c>
      <c r="K53" s="187">
        <v>240</v>
      </c>
      <c r="L53" s="27">
        <f t="shared" si="3"/>
        <v>960</v>
      </c>
    </row>
    <row r="54" spans="1:12" ht="14.25">
      <c r="A54" s="188"/>
      <c r="B54" s="188"/>
      <c r="C54" s="193"/>
      <c r="D54" s="187"/>
      <c r="E54" s="27">
        <f t="shared" si="2"/>
        <v>0</v>
      </c>
      <c r="F54" s="24"/>
      <c r="G54" s="291" t="s">
        <v>137</v>
      </c>
      <c r="H54" s="427"/>
      <c r="J54" s="187">
        <v>1</v>
      </c>
      <c r="K54" s="187">
        <v>20</v>
      </c>
      <c r="L54" s="27">
        <f t="shared" si="3"/>
        <v>20</v>
      </c>
    </row>
    <row r="55" spans="1:12" ht="15" thickBot="1">
      <c r="A55" s="188"/>
      <c r="B55" s="188"/>
      <c r="C55" s="193"/>
      <c r="D55" s="187"/>
      <c r="E55" s="27">
        <f t="shared" si="2"/>
        <v>0</v>
      </c>
      <c r="F55" s="24"/>
      <c r="G55" s="384"/>
      <c r="H55" s="384"/>
      <c r="I55" s="385"/>
      <c r="J55" s="187"/>
      <c r="K55" s="187"/>
      <c r="L55" s="28">
        <f t="shared" si="3"/>
        <v>0</v>
      </c>
    </row>
    <row r="56" spans="1:12" ht="15" thickBot="1">
      <c r="A56" s="31"/>
      <c r="B56" s="31"/>
      <c r="C56" s="23"/>
      <c r="D56" s="23"/>
      <c r="E56" s="29">
        <f>SUM(E50:E55)</f>
        <v>960</v>
      </c>
      <c r="F56" s="24" t="s">
        <v>6</v>
      </c>
      <c r="G56" s="24"/>
      <c r="H56" s="24"/>
      <c r="J56" s="24"/>
      <c r="K56" s="37" t="s">
        <v>6</v>
      </c>
      <c r="L56" s="29">
        <f>SUM(L50:L55)</f>
        <v>1065</v>
      </c>
    </row>
    <row r="57" spans="1:12" ht="14.25">
      <c r="A57" s="31"/>
      <c r="B57" s="31"/>
      <c r="C57" s="23"/>
      <c r="D57" s="23"/>
      <c r="E57" s="30">
        <f>+E56/60</f>
        <v>16</v>
      </c>
      <c r="F57" s="23" t="s">
        <v>135</v>
      </c>
      <c r="G57" s="24"/>
      <c r="H57" s="24"/>
      <c r="J57" s="24"/>
      <c r="K57" s="37" t="s">
        <v>19</v>
      </c>
      <c r="L57" s="141">
        <f>+L56/60</f>
        <v>17.75</v>
      </c>
    </row>
    <row r="58" spans="1:14" ht="14.25">
      <c r="A58" s="239"/>
      <c r="B58" s="239"/>
      <c r="C58" s="23"/>
      <c r="D58" s="23"/>
      <c r="E58" s="23"/>
      <c r="F58" s="23"/>
      <c r="G58" s="23"/>
      <c r="H58" s="23"/>
      <c r="I58" s="5"/>
      <c r="J58" s="23"/>
      <c r="K58" s="240"/>
      <c r="L58" s="23"/>
      <c r="M58" s="5"/>
      <c r="N58" s="5"/>
    </row>
    <row r="59" spans="1:14" ht="13.5" thickBot="1">
      <c r="A59" s="241"/>
      <c r="B59" s="24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5" ht="12.75">
      <c r="A60" s="6"/>
      <c r="B60" s="6"/>
      <c r="C60" s="5"/>
      <c r="D60" s="5"/>
      <c r="E60" s="5"/>
    </row>
    <row r="61" spans="1:8" ht="18">
      <c r="A61" s="21" t="s">
        <v>23</v>
      </c>
      <c r="B61" s="6"/>
      <c r="C61" s="5"/>
      <c r="D61" s="5"/>
      <c r="E61" s="5"/>
      <c r="H61" s="21" t="s">
        <v>259</v>
      </c>
    </row>
    <row r="62" spans="1:8" ht="18">
      <c r="A62" s="41" t="s">
        <v>138</v>
      </c>
      <c r="B62" s="6"/>
      <c r="C62" s="5"/>
      <c r="D62" s="5"/>
      <c r="E62" s="5"/>
      <c r="H62" s="41" t="s">
        <v>260</v>
      </c>
    </row>
    <row r="63" spans="1:5" ht="12.75">
      <c r="A63" s="6"/>
      <c r="B63" s="6"/>
      <c r="C63" s="5"/>
      <c r="D63" s="5"/>
      <c r="E63" s="5"/>
    </row>
    <row r="64" spans="1:5" ht="18">
      <c r="A64" s="6"/>
      <c r="B64" s="6"/>
      <c r="C64" s="5"/>
      <c r="D64" s="5"/>
      <c r="E64" s="21"/>
    </row>
    <row r="65" spans="1:5" ht="18">
      <c r="A65" s="6"/>
      <c r="B65" s="6"/>
      <c r="C65" s="5"/>
      <c r="D65" s="5"/>
      <c r="E65" s="41"/>
    </row>
    <row r="66" spans="1:7" ht="14.25">
      <c r="A66" s="6"/>
      <c r="B66" s="6"/>
      <c r="C66" s="5"/>
      <c r="D66" s="5"/>
      <c r="G66" s="24"/>
    </row>
    <row r="67" spans="1:4" ht="12.75">
      <c r="A67" s="6"/>
      <c r="B67" s="6"/>
      <c r="C67" s="5"/>
      <c r="D67" s="5"/>
    </row>
    <row r="68" spans="1:4" ht="12.75">
      <c r="A68" s="6"/>
      <c r="B68" s="6"/>
      <c r="C68" s="5"/>
      <c r="D68" s="5"/>
    </row>
    <row r="69" spans="1:6" ht="15">
      <c r="A69" s="6"/>
      <c r="B69" s="6"/>
      <c r="C69" s="5"/>
      <c r="D69" s="5"/>
      <c r="E69" s="5"/>
      <c r="F69" s="25"/>
    </row>
    <row r="70" spans="1:5" ht="12.75">
      <c r="A70" s="6"/>
      <c r="B70" s="6"/>
      <c r="C70" s="5"/>
      <c r="D70" s="5"/>
      <c r="E70" s="5"/>
    </row>
    <row r="71" spans="1:5" ht="12.75">
      <c r="A71" s="6"/>
      <c r="B71" s="6"/>
      <c r="C71" s="5"/>
      <c r="D71" s="5"/>
      <c r="E71" s="5"/>
    </row>
    <row r="72" spans="1:5" ht="12.75">
      <c r="A72" s="6"/>
      <c r="B72" s="6"/>
      <c r="C72" s="5"/>
      <c r="D72" s="5"/>
      <c r="E72" s="5"/>
    </row>
    <row r="73" spans="1:5" ht="12.75">
      <c r="A73" s="6"/>
      <c r="B73" s="6"/>
      <c r="C73" s="5"/>
      <c r="D73" s="5"/>
      <c r="E73" s="5"/>
    </row>
    <row r="74" spans="1:5" ht="12.75">
      <c r="A74" s="6"/>
      <c r="B74" s="6"/>
      <c r="C74" s="5"/>
      <c r="D74" s="5"/>
      <c r="E74" s="5"/>
    </row>
    <row r="75" spans="1:5" ht="12.75">
      <c r="A75" s="6"/>
      <c r="B75" s="6"/>
      <c r="C75" s="5"/>
      <c r="D75" s="5"/>
      <c r="E75" s="5"/>
    </row>
    <row r="76" spans="1:5" ht="12.75">
      <c r="A76" s="6"/>
      <c r="B76" s="6"/>
      <c r="C76" s="5"/>
      <c r="D76" s="5"/>
      <c r="E76" s="5"/>
    </row>
    <row r="77" spans="1:5" ht="12.75">
      <c r="A77" s="6"/>
      <c r="B77" s="6"/>
      <c r="C77" s="5"/>
      <c r="D77" s="5"/>
      <c r="E77" s="5"/>
    </row>
    <row r="78" spans="1:5" ht="12.75">
      <c r="A78" s="6"/>
      <c r="B78" s="6"/>
      <c r="C78" s="5"/>
      <c r="D78" s="5"/>
      <c r="E78" s="5"/>
    </row>
    <row r="79" spans="1:5" ht="12.75">
      <c r="A79" s="6"/>
      <c r="B79" s="6"/>
      <c r="C79" s="5"/>
      <c r="D79" s="5"/>
      <c r="E79" s="5"/>
    </row>
    <row r="80" spans="1:5" ht="12.75">
      <c r="A80" s="6"/>
      <c r="B80" s="6"/>
      <c r="C80" s="5"/>
      <c r="D80" s="5"/>
      <c r="E80" s="5"/>
    </row>
    <row r="81" spans="1:5" ht="23.25">
      <c r="A81" s="56" t="s">
        <v>109</v>
      </c>
      <c r="B81" s="22"/>
      <c r="C81" s="5"/>
      <c r="D81" s="5"/>
      <c r="E81" s="5"/>
    </row>
    <row r="82" spans="1:5" ht="12.75">
      <c r="A82" s="6"/>
      <c r="B82" s="6"/>
      <c r="C82" s="20"/>
      <c r="D82" s="20"/>
      <c r="E82" s="20"/>
    </row>
    <row r="83" spans="1:5" ht="12.75">
      <c r="A83" s="6"/>
      <c r="B83" s="6"/>
      <c r="C83" s="20"/>
      <c r="D83" s="20"/>
      <c r="E83" s="20"/>
    </row>
    <row r="84" spans="1:5" ht="21" thickBot="1">
      <c r="A84" s="74" t="s">
        <v>142</v>
      </c>
      <c r="B84" s="6"/>
      <c r="C84" s="20"/>
      <c r="D84" s="20"/>
      <c r="E84" s="20"/>
    </row>
    <row r="85" spans="1:9" ht="20.25">
      <c r="A85" s="74"/>
      <c r="B85" s="295" t="s">
        <v>216</v>
      </c>
      <c r="C85" s="296"/>
      <c r="D85" s="20"/>
      <c r="E85" s="295" t="s">
        <v>151</v>
      </c>
      <c r="F85" s="296"/>
      <c r="H85" s="295" t="s">
        <v>149</v>
      </c>
      <c r="I85" s="296"/>
    </row>
    <row r="86" spans="1:11" ht="18">
      <c r="A86" s="6"/>
      <c r="B86" s="297" t="s">
        <v>150</v>
      </c>
      <c r="C86" s="298"/>
      <c r="E86" s="297" t="s">
        <v>150</v>
      </c>
      <c r="F86" s="298"/>
      <c r="H86" s="297" t="s">
        <v>150</v>
      </c>
      <c r="I86" s="298"/>
      <c r="K86" s="35" t="s">
        <v>24</v>
      </c>
    </row>
    <row r="87" spans="1:11" ht="12.75">
      <c r="A87" s="5"/>
      <c r="B87" s="46"/>
      <c r="C87" s="43"/>
      <c r="E87" s="46"/>
      <c r="F87" s="43"/>
      <c r="H87" s="46"/>
      <c r="I87" s="43"/>
      <c r="K87" s="198">
        <v>2.95</v>
      </c>
    </row>
    <row r="88" spans="1:9" ht="12.75">
      <c r="A88" s="5"/>
      <c r="B88" s="165" t="s">
        <v>217</v>
      </c>
      <c r="C88" s="199">
        <v>3.65</v>
      </c>
      <c r="E88" s="58" t="s">
        <v>156</v>
      </c>
      <c r="F88" s="201">
        <v>348</v>
      </c>
      <c r="H88" s="165" t="s">
        <v>217</v>
      </c>
      <c r="I88" s="199">
        <v>2.4</v>
      </c>
    </row>
    <row r="89" spans="1:9" ht="12.75">
      <c r="A89" s="5"/>
      <c r="B89" s="165" t="s">
        <v>218</v>
      </c>
      <c r="C89" s="199">
        <v>3.55</v>
      </c>
      <c r="E89" s="59" t="s">
        <v>158</v>
      </c>
      <c r="F89" s="50">
        <f>+C90</f>
        <v>2.4</v>
      </c>
      <c r="H89" s="165" t="s">
        <v>218</v>
      </c>
      <c r="I89" s="199">
        <v>2.35</v>
      </c>
    </row>
    <row r="90" spans="1:9" ht="12.75">
      <c r="A90" s="5"/>
      <c r="B90" s="59" t="s">
        <v>158</v>
      </c>
      <c r="C90" s="200">
        <v>2.4</v>
      </c>
      <c r="E90" s="58" t="s">
        <v>157</v>
      </c>
      <c r="F90" s="50">
        <f>+C91</f>
        <v>1.8</v>
      </c>
      <c r="H90" s="165" t="s">
        <v>158</v>
      </c>
      <c r="I90" s="200">
        <v>2.3</v>
      </c>
    </row>
    <row r="91" spans="1:9" ht="12.75" customHeight="1">
      <c r="A91" s="5"/>
      <c r="B91" s="59" t="s">
        <v>219</v>
      </c>
      <c r="C91" s="200">
        <v>1.8</v>
      </c>
      <c r="E91" s="59" t="s">
        <v>46</v>
      </c>
      <c r="F91" s="53">
        <f>ROUNDUP(F88/C89,0)</f>
        <v>99</v>
      </c>
      <c r="H91" s="165" t="s">
        <v>219</v>
      </c>
      <c r="I91" s="50">
        <f>+C91</f>
        <v>1.8</v>
      </c>
    </row>
    <row r="92" spans="2:9" ht="18" customHeight="1" thickBot="1">
      <c r="B92" s="59" t="s">
        <v>262</v>
      </c>
      <c r="C92" s="48">
        <f>ROUNDUP(+C89*C90*C91*K87,0)</f>
        <v>46</v>
      </c>
      <c r="E92" s="59" t="s">
        <v>159</v>
      </c>
      <c r="F92" s="48">
        <f>ROUNDUP(F88*F89*F90*K87,0)</f>
        <v>4435</v>
      </c>
      <c r="H92" s="166" t="s">
        <v>159</v>
      </c>
      <c r="I92" s="89">
        <f>ROUNDUP(+I89*I90*I91*K87,0)</f>
        <v>29</v>
      </c>
    </row>
    <row r="93" spans="1:9" ht="18" customHeight="1">
      <c r="A93" s="5"/>
      <c r="B93" s="46"/>
      <c r="C93" s="43"/>
      <c r="D93" s="5"/>
      <c r="E93" s="46"/>
      <c r="F93" s="43"/>
      <c r="G93" s="5"/>
      <c r="H93" s="425" t="s">
        <v>257</v>
      </c>
      <c r="I93" s="426"/>
    </row>
    <row r="94" spans="1:14" ht="18" customHeight="1" thickBot="1">
      <c r="A94" s="13"/>
      <c r="B94" s="54"/>
      <c r="C94" s="55"/>
      <c r="D94" s="13"/>
      <c r="E94" s="54"/>
      <c r="F94" s="55"/>
      <c r="G94" s="13"/>
      <c r="H94" s="418">
        <v>3</v>
      </c>
      <c r="I94" s="332"/>
      <c r="J94" s="13"/>
      <c r="K94" s="13"/>
      <c r="L94" s="13"/>
      <c r="M94" s="13"/>
      <c r="N94" s="13"/>
    </row>
    <row r="95" spans="1:14" ht="12.75" customHeight="1">
      <c r="A95" s="5"/>
      <c r="B95" s="46"/>
      <c r="C95" s="43"/>
      <c r="D95" s="5"/>
      <c r="E95" s="46"/>
      <c r="F95" s="43"/>
      <c r="G95" s="5"/>
      <c r="H95" s="266"/>
      <c r="I95" s="267"/>
      <c r="J95" s="5"/>
      <c r="K95" s="5"/>
      <c r="L95" s="5"/>
      <c r="M95" s="5"/>
      <c r="N95" s="5"/>
    </row>
    <row r="96" spans="1:14" ht="12.75" customHeight="1">
      <c r="A96" s="5"/>
      <c r="B96" s="46"/>
      <c r="C96" s="43"/>
      <c r="D96" s="5"/>
      <c r="E96" s="46"/>
      <c r="F96" s="43"/>
      <c r="G96" s="5"/>
      <c r="H96" s="266"/>
      <c r="I96" s="267"/>
      <c r="J96" s="5"/>
      <c r="K96" s="5"/>
      <c r="L96" s="5"/>
      <c r="M96" s="5"/>
      <c r="N96" s="5"/>
    </row>
    <row r="97" spans="1:14" ht="12.75" customHeight="1">
      <c r="A97" s="5"/>
      <c r="B97" s="46"/>
      <c r="C97" s="43"/>
      <c r="D97" s="5"/>
      <c r="E97" s="46"/>
      <c r="F97" s="43"/>
      <c r="G97" s="5"/>
      <c r="H97" s="242"/>
      <c r="I97" s="43"/>
      <c r="J97" s="5"/>
      <c r="K97" s="5"/>
      <c r="L97" s="5"/>
      <c r="M97" s="5"/>
      <c r="N97" s="5"/>
    </row>
    <row r="98" spans="1:11" ht="12.75" customHeight="1">
      <c r="A98" s="5"/>
      <c r="B98" s="46"/>
      <c r="C98" s="43"/>
      <c r="D98" s="5"/>
      <c r="E98" s="46"/>
      <c r="F98" s="43"/>
      <c r="G98" s="5"/>
      <c r="H98" s="46"/>
      <c r="I98" s="43"/>
      <c r="J98" s="5"/>
      <c r="K98" s="5"/>
    </row>
    <row r="99" spans="1:11" ht="20.25">
      <c r="A99" s="74" t="s">
        <v>110</v>
      </c>
      <c r="B99" s="46"/>
      <c r="C99" s="43"/>
      <c r="D99" s="5"/>
      <c r="E99" s="46"/>
      <c r="F99" s="43"/>
      <c r="G99" s="5"/>
      <c r="H99" s="46"/>
      <c r="I99" s="43"/>
      <c r="J99" s="5"/>
      <c r="K99" s="5"/>
    </row>
    <row r="100" spans="2:9" ht="18" customHeight="1">
      <c r="B100" s="49" t="s">
        <v>161</v>
      </c>
      <c r="C100" s="43"/>
      <c r="E100" s="46"/>
      <c r="F100" s="47" t="s">
        <v>26</v>
      </c>
      <c r="H100" s="46"/>
      <c r="I100" s="43"/>
    </row>
    <row r="101" spans="1:9" ht="12.75" customHeight="1">
      <c r="A101" s="386" t="s">
        <v>160</v>
      </c>
      <c r="B101" s="49" t="s">
        <v>73</v>
      </c>
      <c r="C101" s="47" t="s">
        <v>19</v>
      </c>
      <c r="E101" s="46"/>
      <c r="F101" s="47" t="s">
        <v>220</v>
      </c>
      <c r="G101" s="9"/>
      <c r="H101" s="46"/>
      <c r="I101" s="43" t="s">
        <v>47</v>
      </c>
    </row>
    <row r="102" spans="1:9" ht="12.75">
      <c r="A102" s="387"/>
      <c r="B102" s="202">
        <v>15</v>
      </c>
      <c r="C102" s="50">
        <f>ROUNDUP(B102/60*C89,1)</f>
        <v>0.9</v>
      </c>
      <c r="E102" s="46"/>
      <c r="F102" s="50">
        <f>ROUNDUP(C102*F91,1)</f>
        <v>89.1</v>
      </c>
      <c r="H102" s="46"/>
      <c r="I102" s="50">
        <f>ROUNDUP(B102*I89/60*H94,1)</f>
        <v>1.8</v>
      </c>
    </row>
    <row r="103" spans="1:14" ht="13.5" thickBot="1">
      <c r="A103" s="13"/>
      <c r="B103" s="54"/>
      <c r="C103" s="55"/>
      <c r="D103" s="13"/>
      <c r="E103" s="54"/>
      <c r="F103" s="55"/>
      <c r="G103" s="13"/>
      <c r="H103" s="54"/>
      <c r="I103" s="55"/>
      <c r="J103" s="13"/>
      <c r="K103" s="13"/>
      <c r="L103" s="13"/>
      <c r="M103" s="13"/>
      <c r="N103" s="13"/>
    </row>
    <row r="104" spans="1:11" ht="12.75">
      <c r="A104" s="5"/>
      <c r="B104" s="46"/>
      <c r="C104" s="43"/>
      <c r="D104" s="5"/>
      <c r="E104" s="46"/>
      <c r="F104" s="43"/>
      <c r="G104" s="5"/>
      <c r="H104" s="46"/>
      <c r="I104" s="43"/>
      <c r="J104" s="5"/>
      <c r="K104" s="5"/>
    </row>
    <row r="105" spans="1:14" ht="15.75">
      <c r="A105" s="5"/>
      <c r="B105" s="46"/>
      <c r="C105" s="43"/>
      <c r="D105" s="5"/>
      <c r="E105" s="46"/>
      <c r="F105" s="43"/>
      <c r="G105" s="5"/>
      <c r="H105" s="46"/>
      <c r="I105" s="43"/>
      <c r="J105" s="301" t="s">
        <v>25</v>
      </c>
      <c r="K105" s="302"/>
      <c r="L105" s="302"/>
      <c r="M105" s="302"/>
      <c r="N105" s="303"/>
    </row>
    <row r="106" spans="1:14" ht="20.25">
      <c r="A106" s="74" t="s">
        <v>111</v>
      </c>
      <c r="B106" s="46"/>
      <c r="C106" s="43"/>
      <c r="D106" s="5"/>
      <c r="E106" s="46"/>
      <c r="F106" s="43"/>
      <c r="H106" s="46"/>
      <c r="I106" s="43"/>
      <c r="J106" s="419"/>
      <c r="K106" s="420"/>
      <c r="L106" s="304" t="s">
        <v>167</v>
      </c>
      <c r="M106" s="304" t="s">
        <v>168</v>
      </c>
      <c r="N106" s="304" t="s">
        <v>225</v>
      </c>
    </row>
    <row r="107" spans="2:14" ht="15.75" customHeight="1">
      <c r="B107" s="46"/>
      <c r="C107" s="43"/>
      <c r="E107" s="46"/>
      <c r="F107" s="43"/>
      <c r="H107" s="46"/>
      <c r="I107" s="43"/>
      <c r="J107" s="421"/>
      <c r="K107" s="422"/>
      <c r="L107" s="304"/>
      <c r="M107" s="304"/>
      <c r="N107" s="276"/>
    </row>
    <row r="108" spans="2:14" ht="15.75">
      <c r="B108" s="46"/>
      <c r="C108" s="47" t="s">
        <v>19</v>
      </c>
      <c r="E108" s="46"/>
      <c r="F108" s="47" t="s">
        <v>19</v>
      </c>
      <c r="H108" s="46"/>
      <c r="I108" s="47" t="s">
        <v>19</v>
      </c>
      <c r="J108" s="423"/>
      <c r="K108" s="424"/>
      <c r="L108" s="304"/>
      <c r="M108" s="304"/>
      <c r="N108" s="276"/>
    </row>
    <row r="109" spans="1:14" ht="12.75">
      <c r="A109" s="8" t="s">
        <v>163</v>
      </c>
      <c r="B109" s="46"/>
      <c r="C109" s="50">
        <f>ROUNDUP(+N112/N122*C89,1)</f>
        <v>1</v>
      </c>
      <c r="E109" s="46"/>
      <c r="F109" s="50">
        <f>+ROUNDUP(C109*F91,1)</f>
        <v>99</v>
      </c>
      <c r="H109" s="46"/>
      <c r="I109" s="50">
        <f>ROUNDUP(+N112/N122*I89*H94,1)</f>
        <v>2</v>
      </c>
      <c r="J109" s="275" t="s">
        <v>170</v>
      </c>
      <c r="K109" s="271"/>
      <c r="L109" s="198">
        <v>1.2</v>
      </c>
      <c r="M109" s="248">
        <v>2</v>
      </c>
      <c r="N109" s="66">
        <f>ROUND(M109*L109/1.2+0.1,1)</f>
        <v>2.1</v>
      </c>
    </row>
    <row r="110" spans="2:14" ht="12.75" customHeight="1">
      <c r="B110" s="272" t="s">
        <v>221</v>
      </c>
      <c r="C110" s="43"/>
      <c r="E110" s="46"/>
      <c r="F110" s="43"/>
      <c r="H110" s="46"/>
      <c r="I110" s="43"/>
      <c r="J110" s="275" t="s">
        <v>171</v>
      </c>
      <c r="K110" s="271"/>
      <c r="L110" s="198">
        <v>1.2</v>
      </c>
      <c r="M110" s="248">
        <v>2</v>
      </c>
      <c r="N110" s="66">
        <f>ROUND(M110*L110/1.2+0.1,1)</f>
        <v>2.1</v>
      </c>
    </row>
    <row r="111" spans="2:14" ht="12.75" customHeight="1">
      <c r="B111" s="335"/>
      <c r="C111" s="47" t="s">
        <v>19</v>
      </c>
      <c r="E111" s="46"/>
      <c r="F111" s="47" t="s">
        <v>19</v>
      </c>
      <c r="H111" s="46"/>
      <c r="I111" s="47" t="s">
        <v>19</v>
      </c>
      <c r="J111" s="275" t="s">
        <v>172</v>
      </c>
      <c r="K111" s="271"/>
      <c r="L111" s="198">
        <v>1.2</v>
      </c>
      <c r="M111" s="248">
        <v>2</v>
      </c>
      <c r="N111" s="66">
        <f>ROUND(M111*L111/1.2+0.1,1)</f>
        <v>2.1</v>
      </c>
    </row>
    <row r="112" spans="1:14" ht="12.75">
      <c r="A112" s="223" t="s">
        <v>164</v>
      </c>
      <c r="B112" s="202">
        <v>3</v>
      </c>
      <c r="C112" s="50">
        <f>+ROUNDUP(B112/60*M112*C89,1)</f>
        <v>1.1</v>
      </c>
      <c r="E112" s="46"/>
      <c r="F112" s="50">
        <f>+ROUNDUP(C112*F91,1)</f>
        <v>108.9</v>
      </c>
      <c r="H112" s="46"/>
      <c r="I112" s="50">
        <f>+ROUNDUP(B112/60*M112*I89*H94,1)</f>
        <v>2.2</v>
      </c>
      <c r="J112" s="5"/>
      <c r="M112" s="250">
        <f>SUM(M109:M111)</f>
        <v>6</v>
      </c>
      <c r="N112" s="66">
        <f>SUM(N109:N111)</f>
        <v>6.300000000000001</v>
      </c>
    </row>
    <row r="113" spans="1:9" ht="12.75">
      <c r="A113" s="222" t="s">
        <v>165</v>
      </c>
      <c r="B113" s="46"/>
      <c r="C113" s="69" t="s">
        <v>26</v>
      </c>
      <c r="E113" s="46"/>
      <c r="F113" s="69" t="s">
        <v>26</v>
      </c>
      <c r="H113" s="46"/>
      <c r="I113" s="69" t="s">
        <v>26</v>
      </c>
    </row>
    <row r="114" spans="1:14" ht="13.5" thickBot="1">
      <c r="A114" s="13"/>
      <c r="B114" s="54"/>
      <c r="C114" s="70">
        <f>+C109+C112</f>
        <v>2.1</v>
      </c>
      <c r="D114" s="92"/>
      <c r="E114" s="54"/>
      <c r="F114" s="70">
        <f>+F109+F112</f>
        <v>207.9</v>
      </c>
      <c r="G114" s="13"/>
      <c r="H114" s="54"/>
      <c r="I114" s="70">
        <f>+I109+I112</f>
        <v>4.2</v>
      </c>
      <c r="J114" s="13"/>
      <c r="K114" s="13"/>
      <c r="L114" s="13"/>
      <c r="M114" s="13"/>
      <c r="N114" s="13"/>
    </row>
    <row r="115" spans="1:11" ht="12.75">
      <c r="A115" s="5"/>
      <c r="B115" s="46"/>
      <c r="C115" s="93"/>
      <c r="D115" s="5"/>
      <c r="E115" s="46"/>
      <c r="F115" s="93"/>
      <c r="G115" s="5"/>
      <c r="H115" s="46"/>
      <c r="I115" s="93"/>
      <c r="J115" s="5"/>
      <c r="K115" s="5"/>
    </row>
    <row r="116" spans="1:14" ht="20.25">
      <c r="A116" s="74" t="s">
        <v>112</v>
      </c>
      <c r="B116" s="46"/>
      <c r="C116" s="93"/>
      <c r="D116" s="5"/>
      <c r="E116" s="46"/>
      <c r="F116" s="93"/>
      <c r="H116" s="49"/>
      <c r="I116" s="43"/>
      <c r="J116" s="301" t="s">
        <v>48</v>
      </c>
      <c r="K116" s="302"/>
      <c r="L116" s="302"/>
      <c r="M116" s="302"/>
      <c r="N116" s="303"/>
    </row>
    <row r="117" spans="1:14" ht="18" customHeight="1">
      <c r="A117" s="5"/>
      <c r="B117" s="49"/>
      <c r="C117" s="47"/>
      <c r="E117" s="49"/>
      <c r="F117" s="47"/>
      <c r="H117" s="49"/>
      <c r="I117" s="47" t="s">
        <v>222</v>
      </c>
      <c r="J117" s="90" t="s">
        <v>177</v>
      </c>
      <c r="K117" s="90"/>
      <c r="L117" s="90"/>
      <c r="M117" s="91"/>
      <c r="N117" s="262">
        <v>2.16</v>
      </c>
    </row>
    <row r="118" spans="1:14" ht="21.75" customHeight="1">
      <c r="A118" s="74"/>
      <c r="B118" s="49"/>
      <c r="C118" s="47"/>
      <c r="E118" s="49"/>
      <c r="F118" s="47"/>
      <c r="H118" s="142" t="s">
        <v>223</v>
      </c>
      <c r="I118" s="201">
        <v>32</v>
      </c>
      <c r="J118" s="273" t="s">
        <v>178</v>
      </c>
      <c r="K118" s="274"/>
      <c r="L118" s="274"/>
      <c r="M118" s="270"/>
      <c r="N118" s="306">
        <v>1.85</v>
      </c>
    </row>
    <row r="119" spans="2:14" ht="24" customHeight="1">
      <c r="B119" s="49"/>
      <c r="C119" s="47"/>
      <c r="E119" s="49"/>
      <c r="F119" s="47"/>
      <c r="H119" s="142" t="s">
        <v>224</v>
      </c>
      <c r="I119" s="201">
        <v>29</v>
      </c>
      <c r="J119" s="268"/>
      <c r="K119" s="269"/>
      <c r="L119" s="269"/>
      <c r="M119" s="305"/>
      <c r="N119" s="307"/>
    </row>
    <row r="120" spans="2:14" ht="18" customHeight="1">
      <c r="B120" s="49"/>
      <c r="C120" s="47"/>
      <c r="E120" s="49"/>
      <c r="F120" s="47"/>
      <c r="H120" s="49"/>
      <c r="I120" s="47"/>
      <c r="J120" s="80" t="s">
        <v>179</v>
      </c>
      <c r="K120" s="75"/>
      <c r="L120" s="75"/>
      <c r="M120" s="76"/>
      <c r="N120" s="77">
        <f>+N118+N117*2</f>
        <v>6.17</v>
      </c>
    </row>
    <row r="121" spans="2:14" ht="18" customHeight="1" thickBot="1">
      <c r="B121" s="49"/>
      <c r="C121" s="47"/>
      <c r="E121" s="49"/>
      <c r="F121" s="47"/>
      <c r="H121" s="49"/>
      <c r="I121" s="47"/>
      <c r="J121" s="78"/>
      <c r="K121" s="78"/>
      <c r="L121" s="78"/>
      <c r="N121" s="38"/>
    </row>
    <row r="122" spans="1:14" ht="18" customHeight="1">
      <c r="A122" s="5"/>
      <c r="B122" s="49"/>
      <c r="C122" s="47" t="s">
        <v>30</v>
      </c>
      <c r="E122" s="49"/>
      <c r="F122" s="47" t="s">
        <v>30</v>
      </c>
      <c r="H122" s="49"/>
      <c r="I122" s="47" t="s">
        <v>30</v>
      </c>
      <c r="J122" s="309" t="s">
        <v>27</v>
      </c>
      <c r="K122" s="310"/>
      <c r="L122" s="310"/>
      <c r="M122" s="311"/>
      <c r="N122" s="416">
        <f>2.4/N120*60</f>
        <v>23.338735818476497</v>
      </c>
    </row>
    <row r="123" spans="1:14" ht="18" customHeight="1" thickBot="1">
      <c r="A123" s="7" t="s">
        <v>173</v>
      </c>
      <c r="B123" s="49"/>
      <c r="C123" s="48">
        <f>C88*N126</f>
        <v>32.85</v>
      </c>
      <c r="E123" s="49"/>
      <c r="F123" s="50">
        <f>+F91*C123</f>
        <v>3252.15</v>
      </c>
      <c r="H123" s="49"/>
      <c r="I123" s="50">
        <f>+I118*I88*H94</f>
        <v>230.39999999999998</v>
      </c>
      <c r="J123" s="314" t="s">
        <v>180</v>
      </c>
      <c r="K123" s="315"/>
      <c r="L123" s="315"/>
      <c r="M123" s="316"/>
      <c r="N123" s="417"/>
    </row>
    <row r="124" spans="1:9" ht="18" customHeight="1" thickBot="1">
      <c r="A124" s="79"/>
      <c r="B124" s="49"/>
      <c r="C124" s="47"/>
      <c r="E124" s="49"/>
      <c r="F124" s="47"/>
      <c r="G124" s="78"/>
      <c r="H124" s="49"/>
      <c r="I124" s="47"/>
    </row>
    <row r="125" spans="1:14" ht="18" customHeight="1">
      <c r="A125" s="5"/>
      <c r="B125" s="49"/>
      <c r="C125" s="47" t="s">
        <v>19</v>
      </c>
      <c r="E125" s="49"/>
      <c r="F125" s="47" t="s">
        <v>19</v>
      </c>
      <c r="H125" s="49"/>
      <c r="I125" s="47" t="s">
        <v>19</v>
      </c>
      <c r="J125" s="317" t="s">
        <v>227</v>
      </c>
      <c r="K125" s="318"/>
      <c r="L125" s="318"/>
      <c r="M125" s="318"/>
      <c r="N125" s="319"/>
    </row>
    <row r="126" spans="1:14" ht="18" customHeight="1" thickBot="1">
      <c r="A126" s="8" t="s">
        <v>226</v>
      </c>
      <c r="B126" s="49"/>
      <c r="C126" s="50">
        <f>ROUNDUP(C123/$N$122,1)</f>
        <v>1.5</v>
      </c>
      <c r="E126" s="49"/>
      <c r="F126" s="50">
        <f>ROUNDUP(F123/$N$122,1)</f>
        <v>139.4</v>
      </c>
      <c r="H126" s="49"/>
      <c r="I126" s="50">
        <f>ROUNDUP(I123/$N$122,1)</f>
        <v>9.9</v>
      </c>
      <c r="J126" s="412" t="s">
        <v>49</v>
      </c>
      <c r="K126" s="413"/>
      <c r="L126" s="413"/>
      <c r="M126" s="414"/>
      <c r="N126" s="252">
        <v>9</v>
      </c>
    </row>
    <row r="127" spans="1:14" ht="18" customHeight="1">
      <c r="A127" s="104"/>
      <c r="B127" s="49"/>
      <c r="C127" s="47"/>
      <c r="E127" s="49"/>
      <c r="F127" s="47"/>
      <c r="H127" s="49"/>
      <c r="I127" s="47"/>
      <c r="K127" s="336" t="s">
        <v>228</v>
      </c>
      <c r="L127" s="415"/>
      <c r="M127" s="336" t="s">
        <v>88</v>
      </c>
      <c r="N127" s="415"/>
    </row>
    <row r="128" spans="1:14" ht="18" customHeight="1" thickBot="1">
      <c r="A128" s="43"/>
      <c r="B128" s="49"/>
      <c r="C128" s="47"/>
      <c r="E128" s="49"/>
      <c r="F128" s="47"/>
      <c r="H128" s="49"/>
      <c r="I128" s="47"/>
      <c r="K128" s="406">
        <f>+M128/C88</f>
        <v>1.400304414003044</v>
      </c>
      <c r="L128" s="407"/>
      <c r="M128" s="408">
        <f>+C92/N126</f>
        <v>5.111111111111111</v>
      </c>
      <c r="N128" s="409"/>
    </row>
    <row r="129" spans="1:14" ht="13.5" thickBot="1">
      <c r="A129" s="13"/>
      <c r="B129" s="54"/>
      <c r="C129" s="55"/>
      <c r="D129" s="13"/>
      <c r="E129" s="54"/>
      <c r="F129" s="55"/>
      <c r="G129" s="54"/>
      <c r="H129" s="54"/>
      <c r="I129" s="55"/>
      <c r="J129" s="13"/>
      <c r="K129" s="13"/>
      <c r="L129" s="13"/>
      <c r="M129" s="143"/>
      <c r="N129" s="143"/>
    </row>
    <row r="130" spans="1:11" ht="12.75">
      <c r="A130" s="5"/>
      <c r="B130" s="46"/>
      <c r="C130" s="43"/>
      <c r="D130" s="5"/>
      <c r="E130" s="46"/>
      <c r="F130" s="43"/>
      <c r="G130" s="5"/>
      <c r="H130" s="46"/>
      <c r="I130" s="43"/>
      <c r="J130" s="5"/>
      <c r="K130" s="5"/>
    </row>
    <row r="131" spans="1:14" ht="15.75">
      <c r="A131" s="5"/>
      <c r="B131" s="46"/>
      <c r="C131" s="43"/>
      <c r="D131" s="5"/>
      <c r="E131" s="46"/>
      <c r="F131" s="43"/>
      <c r="H131" s="46"/>
      <c r="I131" s="43"/>
      <c r="J131" s="301" t="s">
        <v>29</v>
      </c>
      <c r="K131" s="302"/>
      <c r="L131" s="302"/>
      <c r="M131" s="302"/>
      <c r="N131" s="303"/>
    </row>
    <row r="132" spans="1:14" ht="20.25">
      <c r="A132" s="74" t="s">
        <v>113</v>
      </c>
      <c r="B132" s="46"/>
      <c r="C132" s="43"/>
      <c r="D132" s="5"/>
      <c r="E132" s="46"/>
      <c r="F132" s="43"/>
      <c r="H132" s="46"/>
      <c r="I132" s="299" t="s">
        <v>187</v>
      </c>
      <c r="J132" s="8"/>
      <c r="K132" s="185" t="s">
        <v>189</v>
      </c>
      <c r="L132" s="204">
        <v>32</v>
      </c>
      <c r="M132" s="410" t="s">
        <v>231</v>
      </c>
      <c r="N132" s="411"/>
    </row>
    <row r="133" spans="2:14" ht="20.25" customHeight="1">
      <c r="B133" s="272" t="s">
        <v>230</v>
      </c>
      <c r="C133" s="43"/>
      <c r="D133" s="5"/>
      <c r="E133" s="49"/>
      <c r="F133" s="299" t="s">
        <v>187</v>
      </c>
      <c r="H133" s="49"/>
      <c r="I133" s="299"/>
      <c r="J133" s="184"/>
      <c r="K133" s="185" t="s">
        <v>190</v>
      </c>
      <c r="L133" s="205">
        <v>1.01</v>
      </c>
      <c r="M133" s="411"/>
      <c r="N133" s="411"/>
    </row>
    <row r="134" spans="1:14" ht="12.75">
      <c r="A134" s="5"/>
      <c r="B134" s="335"/>
      <c r="C134" s="47" t="s">
        <v>19</v>
      </c>
      <c r="E134" s="49"/>
      <c r="F134" s="300"/>
      <c r="H134" s="49"/>
      <c r="I134" s="300"/>
      <c r="M134" s="411"/>
      <c r="N134" s="411"/>
    </row>
    <row r="135" spans="1:14" ht="15" thickBot="1">
      <c r="A135" s="8" t="s">
        <v>76</v>
      </c>
      <c r="B135" s="206">
        <v>1.3</v>
      </c>
      <c r="C135" s="50">
        <f>ROUNDUP(N126*B135/60,1)</f>
        <v>0.2</v>
      </c>
      <c r="E135" s="49"/>
      <c r="F135" s="50">
        <f>ROUNDUP(C135*F91,1)</f>
        <v>19.8</v>
      </c>
      <c r="H135" s="49"/>
      <c r="I135" s="50">
        <f>ROUNDUP(+B135*I119*H94/60,1)</f>
        <v>1.9000000000000001</v>
      </c>
      <c r="J135" s="338" t="s">
        <v>192</v>
      </c>
      <c r="K135" s="339"/>
      <c r="L135" s="84">
        <f>POWER(L132/1000,2)*PI()/4*1000*L133</f>
        <v>0.8122901965121768</v>
      </c>
      <c r="M135" s="340">
        <f>+L135*C89/M128</f>
        <v>0.5641885169253055</v>
      </c>
      <c r="N135" s="341"/>
    </row>
    <row r="136" spans="2:9" ht="15" customHeight="1" thickBot="1">
      <c r="B136" s="46"/>
      <c r="C136" s="43"/>
      <c r="E136" s="49"/>
      <c r="F136" s="43"/>
      <c r="H136" s="49"/>
      <c r="I136" s="43"/>
    </row>
    <row r="137" spans="1:14" ht="15" customHeight="1" thickBot="1">
      <c r="A137" s="8" t="s">
        <v>229</v>
      </c>
      <c r="B137" s="46"/>
      <c r="C137" s="50">
        <f>ROUND(+M135*C92,0)</f>
        <v>26</v>
      </c>
      <c r="E137" s="49"/>
      <c r="F137" s="50">
        <f>ROUND(+M135*F92,0)</f>
        <v>2502</v>
      </c>
      <c r="H137" s="49"/>
      <c r="I137" s="50">
        <f>ROUND(+M135*I92*H94,0)</f>
        <v>49</v>
      </c>
      <c r="K137" s="400" t="s">
        <v>193</v>
      </c>
      <c r="L137" s="401"/>
      <c r="M137" s="401"/>
      <c r="N137" s="68">
        <f>+F91+H94</f>
        <v>102</v>
      </c>
    </row>
    <row r="138" spans="1:14" ht="13.5" thickBot="1">
      <c r="A138" s="13"/>
      <c r="B138" s="54"/>
      <c r="C138" s="55"/>
      <c r="D138" s="13"/>
      <c r="E138" s="54"/>
      <c r="F138" s="55"/>
      <c r="G138" s="13"/>
      <c r="H138" s="54"/>
      <c r="I138" s="55"/>
      <c r="J138" s="13"/>
      <c r="K138" s="13"/>
      <c r="L138" s="143"/>
      <c r="M138" s="143"/>
      <c r="N138" s="143"/>
    </row>
    <row r="140" spans="1:6" ht="20.25">
      <c r="A140" s="74" t="s">
        <v>114</v>
      </c>
      <c r="B140" s="5"/>
      <c r="C140" s="5"/>
      <c r="D140" s="5"/>
      <c r="E140" s="5"/>
      <c r="F140" s="5"/>
    </row>
    <row r="141" spans="2:6" ht="12.75">
      <c r="B141" s="42" t="s">
        <v>194</v>
      </c>
      <c r="C141" s="5"/>
      <c r="D141" s="5"/>
      <c r="E141" s="5"/>
      <c r="F141" s="5"/>
    </row>
    <row r="142" spans="2:6" ht="12.75" customHeight="1">
      <c r="B142" s="20" t="s">
        <v>81</v>
      </c>
      <c r="C142" s="5"/>
      <c r="D142" s="5"/>
      <c r="E142" s="5"/>
      <c r="F142" s="5"/>
    </row>
    <row r="143" spans="1:6" ht="12.75">
      <c r="A143" s="73" t="s">
        <v>3</v>
      </c>
      <c r="B143" s="20" t="s">
        <v>82</v>
      </c>
      <c r="C143" s="5"/>
      <c r="D143" s="5"/>
      <c r="E143" s="5"/>
      <c r="F143" s="20" t="s">
        <v>26</v>
      </c>
    </row>
    <row r="144" spans="1:6" ht="12.75">
      <c r="A144" s="72" t="s">
        <v>50</v>
      </c>
      <c r="B144" s="221">
        <v>0</v>
      </c>
      <c r="C144" s="5"/>
      <c r="D144" s="5"/>
      <c r="E144" s="5"/>
      <c r="F144" s="10">
        <f>+ROUNDUP(B144/60*N137,1)</f>
        <v>0</v>
      </c>
    </row>
    <row r="145" spans="1:14" ht="13.5" thickBot="1">
      <c r="A145" s="13"/>
      <c r="B145" s="25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7" ht="20.25">
      <c r="A147" s="22" t="s">
        <v>144</v>
      </c>
    </row>
    <row r="148" ht="8.25" customHeight="1"/>
    <row r="149" ht="18">
      <c r="A149" s="190" t="s">
        <v>145</v>
      </c>
    </row>
    <row r="150" spans="1:2" ht="12.75">
      <c r="A150" s="402" t="s">
        <v>51</v>
      </c>
      <c r="B150" s="403"/>
    </row>
    <row r="151" spans="1:10" ht="15.75" customHeight="1">
      <c r="A151" s="404" t="s">
        <v>232</v>
      </c>
      <c r="B151" s="405"/>
      <c r="C151" s="97" t="s">
        <v>32</v>
      </c>
      <c r="D151" s="15" t="s">
        <v>1</v>
      </c>
      <c r="E151" s="16" t="s">
        <v>33</v>
      </c>
      <c r="F151" s="16" t="s">
        <v>34</v>
      </c>
      <c r="G151" s="15" t="s">
        <v>35</v>
      </c>
      <c r="H151" s="164" t="s">
        <v>2</v>
      </c>
      <c r="I151" s="16" t="s">
        <v>37</v>
      </c>
      <c r="J151" s="9" t="s">
        <v>233</v>
      </c>
    </row>
    <row r="152" spans="1:10" ht="15">
      <c r="A152" s="355" t="s">
        <v>39</v>
      </c>
      <c r="B152" s="356"/>
      <c r="C152" s="140" t="s">
        <v>38</v>
      </c>
      <c r="D152" s="135">
        <f>+E33</f>
        <v>0.3333333333333333</v>
      </c>
      <c r="E152" s="135">
        <f>+E41</f>
        <v>0.16666666666666666</v>
      </c>
      <c r="F152" s="135">
        <f>L36/60+L53/60/N137</f>
        <v>0.1568627450980392</v>
      </c>
      <c r="G152" s="135">
        <f>+L40-L36/60</f>
        <v>0.6</v>
      </c>
      <c r="H152" s="136">
        <f>+B144/60</f>
        <v>0</v>
      </c>
      <c r="I152" s="136">
        <f>(+L57-L53/60)/N137</f>
        <v>0.01715686274509804</v>
      </c>
      <c r="J152" s="135">
        <f>SUM(C152:I152)</f>
        <v>1.2740196078431372</v>
      </c>
    </row>
    <row r="153" spans="1:10" ht="15">
      <c r="A153" s="366" t="s">
        <v>201</v>
      </c>
      <c r="B153" s="367"/>
      <c r="C153" s="145">
        <f>+C102</f>
        <v>0.9</v>
      </c>
      <c r="D153" s="135">
        <f>+C114</f>
        <v>2.1</v>
      </c>
      <c r="E153" s="135">
        <f>+C126</f>
        <v>1.5</v>
      </c>
      <c r="F153" s="137"/>
      <c r="G153" s="135">
        <f>+C135</f>
        <v>0.2</v>
      </c>
      <c r="H153" s="137"/>
      <c r="I153" s="137"/>
      <c r="J153" s="135">
        <f>SUM(C153:I153)</f>
        <v>4.7</v>
      </c>
    </row>
    <row r="155" spans="1:2" ht="12.75">
      <c r="A155" s="133" t="s">
        <v>40</v>
      </c>
      <c r="B155" s="132"/>
    </row>
    <row r="156" spans="1:2" ht="12.75">
      <c r="A156" s="133" t="s">
        <v>83</v>
      </c>
      <c r="B156" s="132"/>
    </row>
    <row r="157" spans="1:10" ht="15">
      <c r="A157" s="368" t="s">
        <v>234</v>
      </c>
      <c r="B157" s="368"/>
      <c r="C157" s="135">
        <f>+(C102)/C166</f>
        <v>0.45</v>
      </c>
      <c r="D157" s="135">
        <f>+(C114)/C166</f>
        <v>1.05</v>
      </c>
      <c r="E157" s="135">
        <f>(C126)/C166</f>
        <v>0.75</v>
      </c>
      <c r="F157" s="144"/>
      <c r="G157" s="135">
        <f>+(C135)/C166</f>
        <v>0.1</v>
      </c>
      <c r="H157" s="137"/>
      <c r="I157" s="137"/>
      <c r="J157" s="135">
        <f>SUM(C157:H157)</f>
        <v>2.35</v>
      </c>
    </row>
    <row r="158" spans="1:10" ht="15.75">
      <c r="A158" s="134" t="s">
        <v>240</v>
      </c>
      <c r="I158" s="139" t="s">
        <v>7</v>
      </c>
      <c r="J158" s="138">
        <f>+J152+J157</f>
        <v>3.6240196078431373</v>
      </c>
    </row>
    <row r="159" spans="9:10" ht="15">
      <c r="I159" s="17"/>
      <c r="J159" s="110" t="s">
        <v>8</v>
      </c>
    </row>
    <row r="160" spans="7:10" ht="15.75">
      <c r="G160" s="19"/>
      <c r="H160" s="19"/>
      <c r="I160" s="94" t="s">
        <v>263</v>
      </c>
      <c r="J160" s="230">
        <v>0.1</v>
      </c>
    </row>
    <row r="161" spans="4:11" ht="15">
      <c r="D161" s="24"/>
      <c r="H161" s="24"/>
      <c r="I161" s="139" t="s">
        <v>264</v>
      </c>
      <c r="J161" s="231">
        <f>+J158*J160*60</f>
        <v>21.744117647058825</v>
      </c>
      <c r="K161" s="149" t="s">
        <v>6</v>
      </c>
    </row>
    <row r="162" spans="9:10" ht="15.75" thickBot="1">
      <c r="I162" s="17"/>
      <c r="J162" s="110" t="s">
        <v>9</v>
      </c>
    </row>
    <row r="163" spans="7:11" ht="18.75" thickBot="1">
      <c r="G163" s="63"/>
      <c r="H163" s="63"/>
      <c r="I163" s="95" t="s">
        <v>265</v>
      </c>
      <c r="J163" s="232">
        <f>ROUNDUP(+J161/60+J158,1)</f>
        <v>4</v>
      </c>
      <c r="K163" s="19" t="s">
        <v>19</v>
      </c>
    </row>
    <row r="164" spans="9:10" ht="15">
      <c r="I164" s="17"/>
      <c r="J164" s="110" t="s">
        <v>8</v>
      </c>
    </row>
    <row r="165" spans="9:11" ht="18.75" thickBot="1">
      <c r="I165" s="95" t="s">
        <v>266</v>
      </c>
      <c r="J165" s="233">
        <f>E20</f>
        <v>2.183333333333333</v>
      </c>
      <c r="K165" s="19" t="s">
        <v>19</v>
      </c>
    </row>
    <row r="166" spans="2:11" ht="17.25" thickBot="1" thickTop="1">
      <c r="B166" s="102" t="s">
        <v>205</v>
      </c>
      <c r="C166" s="207">
        <v>2</v>
      </c>
      <c r="J166" s="109" t="s">
        <v>9</v>
      </c>
      <c r="K166" s="44"/>
    </row>
    <row r="167" spans="2:11" ht="24" thickBot="1">
      <c r="B167" s="102" t="s">
        <v>54</v>
      </c>
      <c r="C167" s="207">
        <v>8.5</v>
      </c>
      <c r="D167" s="103" t="s">
        <v>10</v>
      </c>
      <c r="I167" s="95" t="s">
        <v>267</v>
      </c>
      <c r="J167" s="232">
        <f>+J165+J163</f>
        <v>6.183333333333334</v>
      </c>
      <c r="K167" s="19" t="s">
        <v>19</v>
      </c>
    </row>
    <row r="168" ht="12.75">
      <c r="J168" s="44"/>
    </row>
    <row r="169" spans="7:10" ht="18">
      <c r="G169" s="63"/>
      <c r="H169" s="19"/>
      <c r="I169" s="94" t="s">
        <v>52</v>
      </c>
      <c r="J169" s="234">
        <f>+J163/C167</f>
        <v>0.47058823529411764</v>
      </c>
    </row>
    <row r="170" spans="7:10" ht="18">
      <c r="G170" s="63"/>
      <c r="H170" s="19"/>
      <c r="I170" s="94" t="s">
        <v>53</v>
      </c>
      <c r="J170" s="234">
        <f>+J167/C167</f>
        <v>0.7274509803921569</v>
      </c>
    </row>
    <row r="171" spans="1:14" ht="12" customHeight="1">
      <c r="A171" s="38"/>
      <c r="B171" s="38"/>
      <c r="C171" s="38"/>
      <c r="D171" s="38"/>
      <c r="E171" s="38"/>
      <c r="F171" s="38"/>
      <c r="G171" s="106"/>
      <c r="H171" s="107"/>
      <c r="I171" s="108"/>
      <c r="J171" s="38"/>
      <c r="K171" s="38"/>
      <c r="L171" s="38"/>
      <c r="M171" s="38"/>
      <c r="N171" s="38"/>
    </row>
    <row r="172" spans="1:11" ht="9" customHeight="1">
      <c r="A172" s="5"/>
      <c r="B172" s="5"/>
      <c r="C172" s="5"/>
      <c r="D172" s="5"/>
      <c r="E172" s="5"/>
      <c r="F172" s="5"/>
      <c r="G172" s="129"/>
      <c r="H172" s="130"/>
      <c r="I172" s="131"/>
      <c r="J172" s="5"/>
      <c r="K172" s="5"/>
    </row>
    <row r="173" ht="20.25">
      <c r="A173" s="22" t="s">
        <v>146</v>
      </c>
    </row>
    <row r="174" ht="14.25">
      <c r="A174" s="82" t="s">
        <v>80</v>
      </c>
    </row>
    <row r="175" ht="14.25">
      <c r="A175" s="82" t="s">
        <v>235</v>
      </c>
    </row>
    <row r="177" spans="1:7" ht="15">
      <c r="A177" s="23"/>
      <c r="C177" s="101" t="s">
        <v>55</v>
      </c>
      <c r="D177" s="253">
        <f>+C167</f>
        <v>8.5</v>
      </c>
      <c r="F177" s="394" t="str">
        <f>+I163</f>
        <v>total time required inside the stope (contingency included) </v>
      </c>
      <c r="G177" s="395"/>
    </row>
    <row r="178" spans="4:7" ht="15" customHeight="1">
      <c r="D178" s="105" t="s">
        <v>11</v>
      </c>
      <c r="F178" s="396"/>
      <c r="G178" s="397"/>
    </row>
    <row r="179" spans="1:11" ht="18.75" customHeight="1" thickBot="1">
      <c r="A179" s="63"/>
      <c r="B179" s="63"/>
      <c r="C179" s="96" t="s">
        <v>236</v>
      </c>
      <c r="D179" s="254">
        <f>+J165</f>
        <v>2.183333333333333</v>
      </c>
      <c r="F179" s="396"/>
      <c r="G179" s="397"/>
      <c r="I179" s="388" t="s">
        <v>238</v>
      </c>
      <c r="J179" s="389"/>
      <c r="K179" s="390"/>
    </row>
    <row r="180" spans="4:11" ht="15.75" customHeight="1" thickTop="1">
      <c r="D180" s="105" t="s">
        <v>9</v>
      </c>
      <c r="F180" s="398"/>
      <c r="G180" s="399"/>
      <c r="I180" s="391"/>
      <c r="J180" s="392"/>
      <c r="K180" s="393"/>
    </row>
    <row r="181" spans="3:11" ht="15.75">
      <c r="C181" s="96" t="s">
        <v>237</v>
      </c>
      <c r="D181" s="255">
        <f>C167-J165</f>
        <v>6.316666666666666</v>
      </c>
      <c r="E181" s="9" t="s">
        <v>12</v>
      </c>
      <c r="F181" s="374">
        <f>+J163</f>
        <v>4</v>
      </c>
      <c r="G181" s="375"/>
      <c r="H181" s="105" t="s">
        <v>9</v>
      </c>
      <c r="I181" s="376">
        <f>D181/J163</f>
        <v>1.5791666666666666</v>
      </c>
      <c r="J181" s="377"/>
      <c r="K181" s="378"/>
    </row>
    <row r="182" spans="2:20" ht="38.25" customHeight="1">
      <c r="B182" s="379" t="str">
        <f>IF(I181&lt;1,"Is it possible to blast during the shift?     If no, change the parameters to obtain a round number ","Is it possible to blast during the shift?  If yes, optimize the parameters to obtain the desired results.")</f>
        <v>Is it possible to blast during the shift?  If yes, optimize the parameters to obtain the desired results.</v>
      </c>
      <c r="C182" s="380"/>
      <c r="D182" s="380"/>
      <c r="E182" s="380"/>
      <c r="F182" s="380"/>
      <c r="G182" s="380"/>
      <c r="H182" s="380"/>
      <c r="I182" s="380"/>
      <c r="J182" s="380"/>
      <c r="K182" s="381"/>
      <c r="P182" s="88"/>
      <c r="Q182" s="88"/>
      <c r="R182" s="88"/>
      <c r="S182" s="88"/>
      <c r="T182" s="88"/>
    </row>
    <row r="183" spans="1:14" ht="13.5" thickBot="1">
      <c r="A183" s="71"/>
      <c r="B183" s="7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ht="12.75">
      <c r="I184" s="5"/>
    </row>
    <row r="185" spans="1:12" ht="20.25">
      <c r="A185" s="22" t="s">
        <v>56</v>
      </c>
      <c r="I185" s="9"/>
      <c r="J185" s="11"/>
      <c r="L185" s="11"/>
    </row>
    <row r="186" spans="1:12" ht="20.25">
      <c r="A186" s="14"/>
      <c r="I186" s="9"/>
      <c r="J186" s="11"/>
      <c r="L186" s="11"/>
    </row>
    <row r="187" spans="1:11" ht="15.75">
      <c r="A187" s="382" t="s">
        <v>199</v>
      </c>
      <c r="B187" s="383"/>
      <c r="C187" s="97" t="s">
        <v>32</v>
      </c>
      <c r="D187" s="15" t="s">
        <v>1</v>
      </c>
      <c r="E187" s="16" t="s">
        <v>33</v>
      </c>
      <c r="F187" s="16" t="s">
        <v>34</v>
      </c>
      <c r="G187" s="15" t="s">
        <v>35</v>
      </c>
      <c r="H187" s="164" t="s">
        <v>2</v>
      </c>
      <c r="I187" s="15" t="s">
        <v>36</v>
      </c>
      <c r="J187" s="167" t="s">
        <v>37</v>
      </c>
      <c r="K187" s="9" t="s">
        <v>269</v>
      </c>
    </row>
    <row r="188" spans="1:11" ht="15">
      <c r="A188" s="355" t="s">
        <v>39</v>
      </c>
      <c r="B188" s="356"/>
      <c r="C188" s="140" t="s">
        <v>38</v>
      </c>
      <c r="D188" s="135">
        <f>+E33*N137</f>
        <v>34</v>
      </c>
      <c r="E188" s="135">
        <f>+E41*N137</f>
        <v>17</v>
      </c>
      <c r="F188" s="135">
        <f>+L36/60*N137+L53/60</f>
        <v>16</v>
      </c>
      <c r="G188" s="135">
        <f>(+L40-L36/60)*N137</f>
        <v>61.199999999999996</v>
      </c>
      <c r="H188" s="136">
        <f>+F144</f>
        <v>0</v>
      </c>
      <c r="I188" s="136">
        <f>+E57</f>
        <v>16</v>
      </c>
      <c r="J188" s="135">
        <f>+L57-L53/60</f>
        <v>1.75</v>
      </c>
      <c r="K188" s="135">
        <f>SUM(C188:J188)</f>
        <v>145.95</v>
      </c>
    </row>
    <row r="189" spans="1:11" ht="15">
      <c r="A189" s="366" t="s">
        <v>239</v>
      </c>
      <c r="B189" s="367"/>
      <c r="C189" s="145">
        <f>+F102+I102</f>
        <v>90.89999999999999</v>
      </c>
      <c r="D189" s="135">
        <f>+F114+I114</f>
        <v>212.1</v>
      </c>
      <c r="E189" s="135">
        <f>+F126+I126</f>
        <v>149.3</v>
      </c>
      <c r="F189" s="137"/>
      <c r="G189" s="135">
        <f>+F135+I137</f>
        <v>68.8</v>
      </c>
      <c r="H189" s="137"/>
      <c r="I189" s="137"/>
      <c r="J189" s="137"/>
      <c r="K189" s="135">
        <f>SUM(C189:J189)</f>
        <v>521.1</v>
      </c>
    </row>
    <row r="191" ht="12.75">
      <c r="A191" s="133" t="s">
        <v>40</v>
      </c>
    </row>
    <row r="192" ht="12.75">
      <c r="A192" s="133" t="s">
        <v>83</v>
      </c>
    </row>
    <row r="193" spans="1:11" ht="15">
      <c r="A193" s="368" t="s">
        <v>234</v>
      </c>
      <c r="B193" s="368"/>
      <c r="C193" s="145">
        <f>+(C189)/C200</f>
        <v>45.449999999999996</v>
      </c>
      <c r="D193" s="135">
        <f>+(D189)/C200</f>
        <v>106.05</v>
      </c>
      <c r="E193" s="135">
        <f>(E189)/C200</f>
        <v>74.65</v>
      </c>
      <c r="F193" s="137"/>
      <c r="G193" s="135">
        <f>+(G189)/C200</f>
        <v>34.4</v>
      </c>
      <c r="H193" s="137"/>
      <c r="I193" s="137"/>
      <c r="J193" s="137"/>
      <c r="K193" s="135">
        <f>SUM(C193:J193)</f>
        <v>260.55</v>
      </c>
    </row>
    <row r="194" spans="1:11" ht="15.75">
      <c r="A194" s="134" t="s">
        <v>240</v>
      </c>
      <c r="J194" s="139" t="s">
        <v>7</v>
      </c>
      <c r="K194" s="138">
        <f>+K188+K193</f>
        <v>406.5</v>
      </c>
    </row>
    <row r="196" ht="12.75">
      <c r="K196" s="9" t="s">
        <v>4</v>
      </c>
    </row>
    <row r="197" spans="1:12" ht="12.75">
      <c r="A197" s="5" t="s">
        <v>203</v>
      </c>
      <c r="B197" s="5"/>
      <c r="C197" s="12">
        <f>(C193)*$C$200</f>
        <v>90.89999999999999</v>
      </c>
      <c r="D197" s="12">
        <f>(D188+D193)*$C$200</f>
        <v>280.1</v>
      </c>
      <c r="E197" s="12">
        <f>(E188+E193)*$C$200</f>
        <v>183.3</v>
      </c>
      <c r="F197" s="12">
        <f>(F188+F193)*$C$200</f>
        <v>32</v>
      </c>
      <c r="G197" s="12">
        <f>(G188+G193)*$C$200</f>
        <v>191.2</v>
      </c>
      <c r="H197" s="12">
        <f>(H188)*$C$200</f>
        <v>0</v>
      </c>
      <c r="I197" s="12">
        <f>(I188)*$C$200</f>
        <v>32</v>
      </c>
      <c r="J197" s="12">
        <f>(J188)*$C$200</f>
        <v>3.5</v>
      </c>
      <c r="K197" s="18">
        <f>SUM(C197:J197)</f>
        <v>813</v>
      </c>
      <c r="L197" s="44"/>
    </row>
    <row r="198" spans="1:12" ht="15">
      <c r="A198" s="5" t="s">
        <v>204</v>
      </c>
      <c r="B198" s="5"/>
      <c r="C198" s="12">
        <f aca="true" t="shared" si="4" ref="C198:J198">+C197/$C$201</f>
        <v>10.694117647058823</v>
      </c>
      <c r="D198" s="12">
        <f t="shared" si="4"/>
        <v>32.95294117647059</v>
      </c>
      <c r="E198" s="12">
        <f t="shared" si="4"/>
        <v>21.564705882352943</v>
      </c>
      <c r="F198" s="12">
        <f t="shared" si="4"/>
        <v>3.764705882352941</v>
      </c>
      <c r="G198" s="12">
        <f t="shared" si="4"/>
        <v>22.49411764705882</v>
      </c>
      <c r="H198" s="12">
        <f t="shared" si="4"/>
        <v>0</v>
      </c>
      <c r="I198" s="12">
        <f t="shared" si="4"/>
        <v>3.764705882352941</v>
      </c>
      <c r="J198" s="12">
        <f t="shared" si="4"/>
        <v>0.4117647058823529</v>
      </c>
      <c r="K198" s="116">
        <f>SUM(C198:J198)</f>
        <v>95.6470588235294</v>
      </c>
      <c r="L198" s="44"/>
    </row>
    <row r="199" ht="12.75">
      <c r="K199" s="9" t="s">
        <v>15</v>
      </c>
    </row>
    <row r="200" spans="1:11" ht="15.75">
      <c r="A200" s="153" t="s">
        <v>205</v>
      </c>
      <c r="C200" s="235">
        <f>+C166</f>
        <v>2</v>
      </c>
      <c r="G200" s="139" t="s">
        <v>70</v>
      </c>
      <c r="H200" s="236">
        <f>+J160</f>
        <v>0.1</v>
      </c>
      <c r="J200" s="139" t="s">
        <v>206</v>
      </c>
      <c r="K200" s="154">
        <f>+K198*H200</f>
        <v>9.564705882352941</v>
      </c>
    </row>
    <row r="201" spans="1:11" ht="15">
      <c r="A201" s="153" t="s">
        <v>54</v>
      </c>
      <c r="B201" s="5"/>
      <c r="C201" s="235">
        <f>+C167</f>
        <v>8.5</v>
      </c>
      <c r="D201" s="42" t="s">
        <v>19</v>
      </c>
      <c r="K201" s="9" t="s">
        <v>9</v>
      </c>
    </row>
    <row r="202" spans="10:11" ht="15.75">
      <c r="J202" s="94" t="s">
        <v>207</v>
      </c>
      <c r="K202" s="154">
        <f>+K200+K198</f>
        <v>105.21176470588235</v>
      </c>
    </row>
    <row r="203" ht="12.75">
      <c r="K203" s="9" t="s">
        <v>15</v>
      </c>
    </row>
    <row r="204" spans="10:11" ht="15.75">
      <c r="J204" s="94" t="s">
        <v>208</v>
      </c>
      <c r="K204" s="154">
        <f>+K202*C201/(C201-J165)*J165/C201</f>
        <v>36.366071705727144</v>
      </c>
    </row>
    <row r="205" ht="12.75">
      <c r="K205" s="9" t="s">
        <v>13</v>
      </c>
    </row>
    <row r="206" spans="10:11" ht="15.75">
      <c r="J206" s="94" t="s">
        <v>209</v>
      </c>
      <c r="K206" s="154">
        <f>+K204+K202</f>
        <v>141.5778364116095</v>
      </c>
    </row>
    <row r="207" spans="8:11" ht="15.75">
      <c r="H207" s="42"/>
      <c r="I207" s="139" t="s">
        <v>57</v>
      </c>
      <c r="J207" s="154">
        <f>+I181</f>
        <v>1.5791666666666666</v>
      </c>
      <c r="K207" s="42" t="s">
        <v>241</v>
      </c>
    </row>
    <row r="208" spans="8:11" ht="15.75" thickBot="1">
      <c r="H208" s="42"/>
      <c r="I208" s="139"/>
      <c r="K208" s="42"/>
    </row>
    <row r="209" spans="6:8" ht="15.75">
      <c r="F209" s="94" t="s">
        <v>243</v>
      </c>
      <c r="G209" s="192">
        <v>1</v>
      </c>
      <c r="H209" s="117" t="s">
        <v>241</v>
      </c>
    </row>
    <row r="210" spans="6:7" ht="15.75">
      <c r="F210" s="94" t="s">
        <v>242</v>
      </c>
      <c r="G210" s="118">
        <f>G209/I181</f>
        <v>0.633245382585752</v>
      </c>
    </row>
    <row r="212" ht="15" customHeight="1" thickBot="1">
      <c r="C212" s="81">
        <f>IF(G210&gt;1," You can not enter a greater number of advance/shift then calculated in the section 5.1","")</f>
      </c>
    </row>
    <row r="213" spans="2:7" ht="23.25" customHeight="1" thickBot="1" thickTop="1">
      <c r="B213" s="369" t="s">
        <v>41</v>
      </c>
      <c r="C213" s="370"/>
      <c r="D213" s="370"/>
      <c r="E213" s="370"/>
      <c r="F213" s="370"/>
      <c r="G213" s="371"/>
    </row>
    <row r="214" spans="2:11" ht="18" customHeight="1" thickBot="1">
      <c r="B214" s="359" t="s">
        <v>72</v>
      </c>
      <c r="C214" s="360"/>
      <c r="D214" s="360"/>
      <c r="E214" s="361"/>
      <c r="F214" s="249" t="s">
        <v>210</v>
      </c>
      <c r="G214" s="347" t="s">
        <v>16</v>
      </c>
      <c r="J214" s="65">
        <f>F92+I92*H94</f>
        <v>4522</v>
      </c>
      <c r="K214" t="s">
        <v>87</v>
      </c>
    </row>
    <row r="215" spans="2:7" ht="17.25" customHeight="1" thickBot="1">
      <c r="B215" s="121" t="s">
        <v>42</v>
      </c>
      <c r="C215" s="119" t="s">
        <v>71</v>
      </c>
      <c r="D215" s="362" t="s">
        <v>268</v>
      </c>
      <c r="E215" s="363"/>
      <c r="F215" s="120" t="s">
        <v>58</v>
      </c>
      <c r="G215" s="348"/>
    </row>
    <row r="216" spans="2:11" ht="25.5" customHeight="1" thickBot="1">
      <c r="B216" s="122">
        <f>+D216/(1+J160)</f>
        <v>141.95060335322742</v>
      </c>
      <c r="C216" s="123">
        <f>+D216-B216</f>
        <v>14.19506033532275</v>
      </c>
      <c r="D216" s="372">
        <f>+G216-F216</f>
        <v>156.14566368855017</v>
      </c>
      <c r="E216" s="373"/>
      <c r="F216" s="124">
        <f>+G216*D179/D177</f>
        <v>53.97119246226931</v>
      </c>
      <c r="G216" s="125">
        <f>((N137-H94)/G209+I188*(1+J160)/D181+IF(H94=0,0,2*H94/H239*G209/H239))*C166</f>
        <v>210.11685615081947</v>
      </c>
      <c r="H216" s="345" t="s">
        <v>45</v>
      </c>
      <c r="I216" s="346"/>
      <c r="J216" s="64">
        <f>+J214/G216</f>
        <v>21.521357604713828</v>
      </c>
      <c r="K216" t="s">
        <v>89</v>
      </c>
    </row>
    <row r="217" spans="2:7" ht="13.5" thickTop="1">
      <c r="B217" s="126">
        <f>+B216/$G$216</f>
        <v>0.6755793226381462</v>
      </c>
      <c r="C217" s="263">
        <f>+C216/$G$216</f>
        <v>0.06755793226381467</v>
      </c>
      <c r="D217" s="357">
        <f>+D216/$G$216</f>
        <v>0.7431372549019608</v>
      </c>
      <c r="E217" s="358"/>
      <c r="F217" s="127">
        <f>+F216/$G$216</f>
        <v>0.2568627450980392</v>
      </c>
      <c r="G217" s="128">
        <f>+F217+D217</f>
        <v>1</v>
      </c>
    </row>
    <row r="218" spans="1:9" ht="15.75">
      <c r="A218" s="19"/>
      <c r="B218" s="19"/>
      <c r="I218" s="5"/>
    </row>
    <row r="222" spans="1:10" ht="14.25">
      <c r="A222" s="113" t="s">
        <v>244</v>
      </c>
      <c r="E222" s="261" t="s">
        <v>247</v>
      </c>
      <c r="J222" s="113" t="s">
        <v>79</v>
      </c>
    </row>
    <row r="223" spans="1:13" ht="12.75">
      <c r="A223" s="5" t="s">
        <v>245</v>
      </c>
      <c r="C223" s="18">
        <f>+K197</f>
        <v>813</v>
      </c>
      <c r="F223" s="5"/>
      <c r="G223" s="115" t="s">
        <v>248</v>
      </c>
      <c r="H223" s="18">
        <f>+C231</f>
        <v>105.21176470588235</v>
      </c>
      <c r="L223" s="17" t="str">
        <f>+G231</f>
        <v>Number of required shifts (schedule)</v>
      </c>
      <c r="M223" s="114">
        <f>+H231</f>
        <v>70.78891820580475</v>
      </c>
    </row>
    <row r="224" spans="1:13" ht="12.75">
      <c r="A224" s="5"/>
      <c r="C224" s="9" t="s">
        <v>12</v>
      </c>
      <c r="G224" s="5"/>
      <c r="H224" s="9" t="s">
        <v>12</v>
      </c>
      <c r="M224" s="9" t="s">
        <v>14</v>
      </c>
    </row>
    <row r="225" spans="1:13" ht="12.75">
      <c r="A225" s="5" t="s">
        <v>77</v>
      </c>
      <c r="C225" s="111">
        <f>+C201</f>
        <v>8.5</v>
      </c>
      <c r="G225" s="115" t="s">
        <v>254</v>
      </c>
      <c r="H225" s="12">
        <f>+D181</f>
        <v>6.316666666666666</v>
      </c>
      <c r="L225" s="17" t="s">
        <v>250</v>
      </c>
      <c r="M225" s="259">
        <f>+J165</f>
        <v>2.183333333333333</v>
      </c>
    </row>
    <row r="226" spans="1:13" ht="12.75">
      <c r="A226" s="5"/>
      <c r="C226" s="9" t="s">
        <v>13</v>
      </c>
      <c r="G226" s="5"/>
      <c r="H226" s="9" t="s">
        <v>14</v>
      </c>
      <c r="M226" s="9" t="s">
        <v>12</v>
      </c>
    </row>
    <row r="227" spans="1:13" ht="12.75">
      <c r="A227" s="5" t="s">
        <v>246</v>
      </c>
      <c r="C227" s="18">
        <f>+C223/C225</f>
        <v>95.6470588235294</v>
      </c>
      <c r="G227" s="5" t="s">
        <v>77</v>
      </c>
      <c r="H227" s="111">
        <f>+C225</f>
        <v>8.5</v>
      </c>
      <c r="L227" s="168" t="str">
        <f>+A225</f>
        <v>Hours/shift</v>
      </c>
      <c r="M227" s="259">
        <f>+C225</f>
        <v>8.5</v>
      </c>
    </row>
    <row r="228" spans="1:13" ht="12.75">
      <c r="A228" s="5"/>
      <c r="C228" s="9" t="s">
        <v>8</v>
      </c>
      <c r="G228" s="5"/>
      <c r="H228" s="9" t="s">
        <v>12</v>
      </c>
      <c r="M228" s="9" t="s">
        <v>9</v>
      </c>
    </row>
    <row r="229" spans="1:13" ht="12.75">
      <c r="A229" s="5" t="s">
        <v>84</v>
      </c>
      <c r="C229" s="112">
        <f>+J160</f>
        <v>0.1</v>
      </c>
      <c r="G229" s="5" t="s">
        <v>78</v>
      </c>
      <c r="H229" s="3">
        <f>+C200</f>
        <v>2</v>
      </c>
      <c r="L229" s="17" t="s">
        <v>255</v>
      </c>
      <c r="M229" s="114">
        <f>+M223*M225/M227</f>
        <v>18.183035852863572</v>
      </c>
    </row>
    <row r="230" spans="1:12" ht="12.75">
      <c r="A230" s="5"/>
      <c r="C230" s="9" t="s">
        <v>9</v>
      </c>
      <c r="H230" s="9" t="s">
        <v>9</v>
      </c>
      <c r="L230" s="17" t="s">
        <v>256</v>
      </c>
    </row>
    <row r="231" spans="1:8" ht="12.75">
      <c r="A231" s="5" t="s">
        <v>246</v>
      </c>
      <c r="C231" s="18">
        <f>+C229*C227+C227</f>
        <v>105.21176470588235</v>
      </c>
      <c r="G231" s="17" t="s">
        <v>249</v>
      </c>
      <c r="H231" s="18">
        <f>+H223/H225*H227/H229</f>
        <v>70.78891820580475</v>
      </c>
    </row>
    <row r="232" ht="12.75">
      <c r="A232" t="s">
        <v>85</v>
      </c>
    </row>
    <row r="234" spans="1:8" ht="14.25">
      <c r="A234" s="113" t="s">
        <v>251</v>
      </c>
      <c r="H234" s="264" t="s">
        <v>271</v>
      </c>
    </row>
    <row r="235" spans="1:8" ht="12.75">
      <c r="A235" s="260" t="s">
        <v>252</v>
      </c>
      <c r="C235" s="114">
        <f>+H231</f>
        <v>70.78891820580475</v>
      </c>
      <c r="G235" s="17" t="s">
        <v>272</v>
      </c>
      <c r="H235" s="265">
        <f>IF(H94=0,0,(J152+(I102+I114+I126+I135)/C166/H94)*(1+J160))</f>
        <v>4.664754901960785</v>
      </c>
    </row>
    <row r="236" spans="3:8" ht="12.75">
      <c r="C236" s="9" t="s">
        <v>14</v>
      </c>
      <c r="H236" s="9" t="s">
        <v>12</v>
      </c>
    </row>
    <row r="237" spans="1:8" ht="12.75">
      <c r="A237" t="s">
        <v>78</v>
      </c>
      <c r="C237" s="3">
        <f>+H229</f>
        <v>2</v>
      </c>
      <c r="G237" s="115" t="s">
        <v>254</v>
      </c>
      <c r="H237" s="12">
        <f>+D181</f>
        <v>6.316666666666666</v>
      </c>
    </row>
    <row r="238" spans="3:8" ht="12.75">
      <c r="C238" s="9" t="s">
        <v>9</v>
      </c>
      <c r="H238" s="9" t="s">
        <v>13</v>
      </c>
    </row>
    <row r="239" spans="1:8" ht="12.75">
      <c r="A239" s="260" t="s">
        <v>253</v>
      </c>
      <c r="C239" s="18">
        <f>+C237*C235</f>
        <v>141.5778364116095</v>
      </c>
      <c r="G239" s="17" t="s">
        <v>273</v>
      </c>
      <c r="H239" s="18">
        <f>IF(H94=0,0,D181/H235)</f>
        <v>1.354126165130673</v>
      </c>
    </row>
    <row r="240" spans="1:4" ht="12.75">
      <c r="A240" s="260" t="s">
        <v>59</v>
      </c>
      <c r="C240" s="18">
        <f>+I181</f>
        <v>1.5791666666666666</v>
      </c>
      <c r="D240" t="s">
        <v>241</v>
      </c>
    </row>
  </sheetData>
  <mergeCells count="84">
    <mergeCell ref="L48:L49"/>
    <mergeCell ref="K26:K27"/>
    <mergeCell ref="L26:L27"/>
    <mergeCell ref="H8:K9"/>
    <mergeCell ref="E48:E49"/>
    <mergeCell ref="E35:E36"/>
    <mergeCell ref="K48:K49"/>
    <mergeCell ref="C26:C27"/>
    <mergeCell ref="D26:D27"/>
    <mergeCell ref="E26:E27"/>
    <mergeCell ref="C35:C36"/>
    <mergeCell ref="D35:D36"/>
    <mergeCell ref="J26:J27"/>
    <mergeCell ref="C48:C49"/>
    <mergeCell ref="G50:H50"/>
    <mergeCell ref="G51:H51"/>
    <mergeCell ref="J48:J49"/>
    <mergeCell ref="G52:I52"/>
    <mergeCell ref="G54:H54"/>
    <mergeCell ref="B85:C85"/>
    <mergeCell ref="E85:F85"/>
    <mergeCell ref="H85:I85"/>
    <mergeCell ref="B86:C86"/>
    <mergeCell ref="E86:F86"/>
    <mergeCell ref="H86:I86"/>
    <mergeCell ref="H93:I93"/>
    <mergeCell ref="H94:I94"/>
    <mergeCell ref="J105:N105"/>
    <mergeCell ref="J106:K107"/>
    <mergeCell ref="L106:L108"/>
    <mergeCell ref="M106:M108"/>
    <mergeCell ref="N106:N108"/>
    <mergeCell ref="J108:K108"/>
    <mergeCell ref="J109:K109"/>
    <mergeCell ref="B110:B111"/>
    <mergeCell ref="J110:K110"/>
    <mergeCell ref="J111:K111"/>
    <mergeCell ref="J116:N116"/>
    <mergeCell ref="J118:M119"/>
    <mergeCell ref="N118:N119"/>
    <mergeCell ref="J122:M122"/>
    <mergeCell ref="N122:N123"/>
    <mergeCell ref="J123:M123"/>
    <mergeCell ref="J125:N125"/>
    <mergeCell ref="J126:M126"/>
    <mergeCell ref="K127:L127"/>
    <mergeCell ref="M127:N127"/>
    <mergeCell ref="K128:L128"/>
    <mergeCell ref="M128:N128"/>
    <mergeCell ref="J131:N131"/>
    <mergeCell ref="I132:I134"/>
    <mergeCell ref="M132:N134"/>
    <mergeCell ref="B133:B134"/>
    <mergeCell ref="F133:F134"/>
    <mergeCell ref="J135:K135"/>
    <mergeCell ref="M135:N135"/>
    <mergeCell ref="K137:M137"/>
    <mergeCell ref="A150:B150"/>
    <mergeCell ref="A151:B151"/>
    <mergeCell ref="A152:B152"/>
    <mergeCell ref="A153:B153"/>
    <mergeCell ref="A157:B157"/>
    <mergeCell ref="I179:K180"/>
    <mergeCell ref="F177:G180"/>
    <mergeCell ref="D48:D49"/>
    <mergeCell ref="B214:E214"/>
    <mergeCell ref="G214:G215"/>
    <mergeCell ref="D215:E215"/>
    <mergeCell ref="A188:B188"/>
    <mergeCell ref="A189:B189"/>
    <mergeCell ref="A193:B193"/>
    <mergeCell ref="B213:G213"/>
    <mergeCell ref="G55:I55"/>
    <mergeCell ref="A101:A102"/>
    <mergeCell ref="H216:I216"/>
    <mergeCell ref="D217:E217"/>
    <mergeCell ref="C8:C9"/>
    <mergeCell ref="D8:D9"/>
    <mergeCell ref="E8:E9"/>
    <mergeCell ref="D216:E216"/>
    <mergeCell ref="F181:G181"/>
    <mergeCell ref="I181:K181"/>
    <mergeCell ref="B182:K182"/>
    <mergeCell ref="A187:B187"/>
  </mergeCells>
  <printOptions/>
  <pageMargins left="0.75" right="0.75" top="1" bottom="1" header="0.5" footer="0.5"/>
  <pageSetup cellComments="asDisplayed" horizontalDpi="600" verticalDpi="600" orientation="landscape" scale="67" r:id="rId4"/>
  <headerFooter alignWithMargins="0">
    <oddFooter>&amp;LFile:  &amp;F
Sheet:  &amp;A
Page &amp;P of &amp;N&amp;CExperimental Mine
Val-d'Or&amp;R&amp;D
&amp;T</oddFooter>
  </headerFooter>
  <rowBreaks count="4" manualBreakCount="4">
    <brk id="43" max="13" man="1"/>
    <brk id="79" max="13" man="1"/>
    <brk id="114" max="13" man="1"/>
    <brk id="146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="75" zoomScaleNormal="75" workbookViewId="0" topLeftCell="A1">
      <selection activeCell="H4" sqref="H4"/>
    </sheetView>
  </sheetViews>
  <sheetFormatPr defaultColWidth="9.140625" defaultRowHeight="12.75"/>
  <cols>
    <col min="1" max="16384" width="11.421875" style="0" customWidth="1"/>
  </cols>
  <sheetData>
    <row r="1" ht="14.25">
      <c r="E1" s="23" t="s">
        <v>261</v>
      </c>
    </row>
    <row r="2" ht="14.25">
      <c r="E2" s="23"/>
    </row>
    <row r="3" ht="13.5" thickBot="1">
      <c r="F3" s="13"/>
    </row>
    <row r="4" spans="1:7" ht="12.75">
      <c r="A4" s="169"/>
      <c r="B4" s="170"/>
      <c r="C4" s="170"/>
      <c r="D4" s="170"/>
      <c r="E4" s="170"/>
      <c r="F4" s="5"/>
      <c r="G4" s="67"/>
    </row>
    <row r="5" spans="1:7" ht="12.75">
      <c r="A5" s="46"/>
      <c r="B5" s="5"/>
      <c r="C5" s="5"/>
      <c r="D5" s="5"/>
      <c r="E5" s="5"/>
      <c r="F5" s="5"/>
      <c r="G5" s="43"/>
    </row>
    <row r="6" spans="1:7" ht="12.75">
      <c r="A6" s="46"/>
      <c r="B6" s="5"/>
      <c r="C6" s="5"/>
      <c r="D6" s="5"/>
      <c r="E6" s="5"/>
      <c r="F6" s="5"/>
      <c r="G6" s="43"/>
    </row>
    <row r="7" spans="1:7" ht="12.75">
      <c r="A7" s="46"/>
      <c r="B7" s="5"/>
      <c r="C7" s="5"/>
      <c r="D7" s="5"/>
      <c r="E7" s="5"/>
      <c r="F7" s="5"/>
      <c r="G7" s="43"/>
    </row>
    <row r="8" spans="1:7" ht="12.75">
      <c r="A8" s="46"/>
      <c r="B8" s="5"/>
      <c r="C8" s="5"/>
      <c r="D8" s="5"/>
      <c r="E8" s="5"/>
      <c r="F8" s="5"/>
      <c r="G8" s="43"/>
    </row>
    <row r="9" spans="1:7" ht="12.75">
      <c r="A9" s="46"/>
      <c r="B9" s="5"/>
      <c r="C9" s="5"/>
      <c r="D9" s="5"/>
      <c r="E9" s="5"/>
      <c r="F9" s="5"/>
      <c r="G9" s="43"/>
    </row>
    <row r="10" spans="1:7" ht="12.75">
      <c r="A10" s="46"/>
      <c r="B10" s="5"/>
      <c r="C10" s="5"/>
      <c r="D10" s="5"/>
      <c r="E10" s="5"/>
      <c r="F10" s="5"/>
      <c r="G10" s="43"/>
    </row>
    <row r="11" spans="1:7" ht="12.75">
      <c r="A11" s="46"/>
      <c r="B11" s="5"/>
      <c r="C11" s="5"/>
      <c r="D11" s="5"/>
      <c r="E11" s="5"/>
      <c r="F11" s="5"/>
      <c r="G11" s="43"/>
    </row>
    <row r="12" spans="1:7" ht="12.75">
      <c r="A12" s="46"/>
      <c r="B12" s="5"/>
      <c r="C12" s="5"/>
      <c r="D12" s="5"/>
      <c r="E12" s="5"/>
      <c r="F12" s="5"/>
      <c r="G12" s="43"/>
    </row>
    <row r="13" spans="1:7" ht="12.75">
      <c r="A13" s="46"/>
      <c r="B13" s="5"/>
      <c r="C13" s="5"/>
      <c r="D13" s="5"/>
      <c r="E13" s="5"/>
      <c r="F13" s="5"/>
      <c r="G13" s="43"/>
    </row>
    <row r="14" spans="1:7" ht="12.75">
      <c r="A14" s="46"/>
      <c r="B14" s="5"/>
      <c r="C14" s="5"/>
      <c r="D14" s="5"/>
      <c r="E14" s="5"/>
      <c r="F14" s="5"/>
      <c r="G14" s="43"/>
    </row>
    <row r="15" spans="1:7" ht="12.75">
      <c r="A15" s="46"/>
      <c r="B15" s="5"/>
      <c r="C15" s="5"/>
      <c r="D15" s="5"/>
      <c r="E15" s="5"/>
      <c r="F15" s="5"/>
      <c r="G15" s="43"/>
    </row>
    <row r="16" spans="1:7" ht="12.75">
      <c r="A16" s="46"/>
      <c r="B16" s="5"/>
      <c r="C16" s="5"/>
      <c r="D16" s="5"/>
      <c r="E16" s="5"/>
      <c r="F16" s="5"/>
      <c r="G16" s="43"/>
    </row>
    <row r="17" spans="1:7" ht="12.75">
      <c r="A17" s="46"/>
      <c r="B17" s="5"/>
      <c r="C17" s="5"/>
      <c r="D17" s="5"/>
      <c r="E17" s="5"/>
      <c r="F17" s="5"/>
      <c r="G17" s="43"/>
    </row>
    <row r="18" spans="1:7" ht="13.5" thickBot="1">
      <c r="A18" s="54"/>
      <c r="B18" s="13"/>
      <c r="C18" s="13"/>
      <c r="D18" s="13"/>
      <c r="E18" s="13"/>
      <c r="F18" s="13"/>
      <c r="G18" s="55"/>
    </row>
    <row r="19" spans="1:7" ht="12.75">
      <c r="A19" s="169"/>
      <c r="B19" s="170"/>
      <c r="C19" s="170"/>
      <c r="D19" s="170"/>
      <c r="E19" s="170"/>
      <c r="F19" s="170"/>
      <c r="G19" s="67"/>
    </row>
    <row r="20" spans="1:7" ht="12.75">
      <c r="A20" s="46"/>
      <c r="B20" s="5"/>
      <c r="C20" s="5"/>
      <c r="D20" s="5"/>
      <c r="E20" s="5"/>
      <c r="F20" s="5"/>
      <c r="G20" s="43"/>
    </row>
    <row r="21" spans="1:7" ht="12.75">
      <c r="A21" s="46"/>
      <c r="B21" s="5"/>
      <c r="C21" s="5"/>
      <c r="D21" s="5"/>
      <c r="E21" s="5"/>
      <c r="F21" s="5"/>
      <c r="G21" s="43"/>
    </row>
    <row r="22" spans="1:7" ht="12.75">
      <c r="A22" s="46"/>
      <c r="B22" s="5"/>
      <c r="C22" s="5"/>
      <c r="D22" s="5"/>
      <c r="E22" s="5"/>
      <c r="F22" s="5"/>
      <c r="G22" s="43"/>
    </row>
    <row r="23" spans="1:7" ht="12.75">
      <c r="A23" s="46"/>
      <c r="B23" s="5"/>
      <c r="C23" s="5"/>
      <c r="D23" s="5"/>
      <c r="E23" s="5"/>
      <c r="F23" s="5"/>
      <c r="G23" s="43"/>
    </row>
    <row r="24" spans="1:7" ht="12.75">
      <c r="A24" s="46"/>
      <c r="B24" s="5"/>
      <c r="C24" s="5"/>
      <c r="D24" s="5"/>
      <c r="E24" s="5"/>
      <c r="F24" s="5"/>
      <c r="G24" s="43"/>
    </row>
    <row r="25" spans="1:7" ht="12.75">
      <c r="A25" s="46"/>
      <c r="B25" s="5"/>
      <c r="C25" s="5"/>
      <c r="D25" s="5"/>
      <c r="E25" s="5"/>
      <c r="F25" s="5"/>
      <c r="G25" s="43"/>
    </row>
    <row r="26" spans="1:7" ht="12.75">
      <c r="A26" s="46"/>
      <c r="B26" s="5"/>
      <c r="C26" s="5"/>
      <c r="D26" s="5"/>
      <c r="E26" s="5"/>
      <c r="F26" s="5"/>
      <c r="G26" s="43"/>
    </row>
    <row r="27" spans="1:7" ht="12.75">
      <c r="A27" s="46"/>
      <c r="B27" s="5"/>
      <c r="C27" s="5"/>
      <c r="D27" s="5"/>
      <c r="E27" s="5"/>
      <c r="F27" s="5"/>
      <c r="G27" s="43"/>
    </row>
    <row r="28" spans="1:7" ht="12.75">
      <c r="A28" s="46"/>
      <c r="B28" s="5"/>
      <c r="C28" s="5"/>
      <c r="D28" s="5"/>
      <c r="E28" s="5"/>
      <c r="F28" s="5"/>
      <c r="G28" s="43"/>
    </row>
    <row r="29" spans="1:7" ht="12.75">
      <c r="A29" s="46"/>
      <c r="B29" s="5"/>
      <c r="C29" s="5"/>
      <c r="D29" s="5"/>
      <c r="E29" s="5"/>
      <c r="F29" s="5"/>
      <c r="G29" s="43"/>
    </row>
    <row r="30" spans="1:7" ht="12.75">
      <c r="A30" s="46"/>
      <c r="B30" s="5"/>
      <c r="C30" s="5"/>
      <c r="D30" s="5"/>
      <c r="E30" s="5"/>
      <c r="F30" s="5"/>
      <c r="G30" s="43"/>
    </row>
    <row r="31" spans="1:7" ht="12.75">
      <c r="A31" s="46"/>
      <c r="B31" s="5"/>
      <c r="C31" s="5"/>
      <c r="D31" s="5"/>
      <c r="E31" s="5"/>
      <c r="F31" s="5"/>
      <c r="G31" s="43"/>
    </row>
    <row r="32" spans="1:7" ht="12.75">
      <c r="A32" s="46"/>
      <c r="B32" s="5"/>
      <c r="C32" s="5"/>
      <c r="D32" s="5"/>
      <c r="E32" s="5"/>
      <c r="F32" s="5"/>
      <c r="G32" s="43"/>
    </row>
    <row r="33" spans="1:7" ht="12.75">
      <c r="A33" s="46"/>
      <c r="B33" s="5"/>
      <c r="C33" s="5"/>
      <c r="D33" s="5"/>
      <c r="E33" s="5"/>
      <c r="F33" s="5"/>
      <c r="G33" s="43"/>
    </row>
    <row r="34" spans="1:7" ht="12.75">
      <c r="A34" s="46"/>
      <c r="B34" s="5"/>
      <c r="C34" s="5"/>
      <c r="D34" s="5"/>
      <c r="E34" s="5"/>
      <c r="F34" s="5"/>
      <c r="G34" s="43"/>
    </row>
    <row r="35" spans="1:7" ht="12.75">
      <c r="A35" s="46"/>
      <c r="B35" s="5"/>
      <c r="C35" s="5"/>
      <c r="D35" s="5"/>
      <c r="E35" s="5"/>
      <c r="F35" s="5"/>
      <c r="G35" s="43"/>
    </row>
    <row r="36" spans="1:7" ht="12.75">
      <c r="A36" s="46"/>
      <c r="B36" s="5"/>
      <c r="C36" s="5"/>
      <c r="D36" s="5"/>
      <c r="E36" s="5"/>
      <c r="F36" s="5"/>
      <c r="G36" s="43"/>
    </row>
    <row r="37" spans="1:7" ht="12.75">
      <c r="A37" s="46"/>
      <c r="B37" s="5"/>
      <c r="C37" s="5"/>
      <c r="D37" s="5"/>
      <c r="E37" s="5"/>
      <c r="F37" s="5"/>
      <c r="G37" s="43"/>
    </row>
    <row r="38" spans="1:7" ht="12.75">
      <c r="A38" s="46"/>
      <c r="B38" s="5"/>
      <c r="C38" s="5"/>
      <c r="D38" s="5"/>
      <c r="E38" s="5"/>
      <c r="F38" s="5"/>
      <c r="G38" s="43"/>
    </row>
    <row r="39" spans="1:7" ht="12.75">
      <c r="A39" s="46"/>
      <c r="B39" s="5"/>
      <c r="C39" s="5"/>
      <c r="D39" s="5"/>
      <c r="E39" s="5"/>
      <c r="F39" s="5"/>
      <c r="G39" s="43"/>
    </row>
    <row r="40" spans="1:7" s="5" customFormat="1" ht="12.75">
      <c r="A40" s="46"/>
      <c r="G40" s="43"/>
    </row>
    <row r="41" spans="1:7" s="38" customFormat="1" ht="12.75">
      <c r="A41" s="51"/>
      <c r="G41" s="52"/>
    </row>
    <row r="42" spans="1:7" ht="12.75">
      <c r="A42" s="237"/>
      <c r="B42" s="238"/>
      <c r="C42" s="238"/>
      <c r="D42" s="238"/>
      <c r="E42" s="238"/>
      <c r="F42" s="238"/>
      <c r="G42" s="104"/>
    </row>
    <row r="43" spans="1:7" ht="12.75">
      <c r="A43" s="46"/>
      <c r="B43" s="5"/>
      <c r="C43" s="5"/>
      <c r="D43" s="5"/>
      <c r="E43" s="5"/>
      <c r="F43" s="5"/>
      <c r="G43" s="43"/>
    </row>
    <row r="44" spans="1:7" ht="12.75">
      <c r="A44" s="46"/>
      <c r="B44" s="5"/>
      <c r="C44" s="5"/>
      <c r="D44" s="5"/>
      <c r="E44" s="5"/>
      <c r="F44" s="5"/>
      <c r="G44" s="43"/>
    </row>
    <row r="45" spans="1:7" ht="12.75">
      <c r="A45" s="46"/>
      <c r="B45" s="5"/>
      <c r="C45" s="5"/>
      <c r="D45" s="5"/>
      <c r="E45" s="5"/>
      <c r="F45" s="5"/>
      <c r="G45" s="43"/>
    </row>
    <row r="46" spans="1:7" ht="12.75">
      <c r="A46" s="46"/>
      <c r="B46" s="5"/>
      <c r="C46" s="5"/>
      <c r="D46" s="5"/>
      <c r="E46" s="5"/>
      <c r="F46" s="5"/>
      <c r="G46" s="43"/>
    </row>
    <row r="47" spans="1:7" ht="12.75">
      <c r="A47" s="46"/>
      <c r="B47" s="5"/>
      <c r="C47" s="5"/>
      <c r="D47" s="5"/>
      <c r="E47" s="5"/>
      <c r="F47" s="5"/>
      <c r="G47" s="43"/>
    </row>
    <row r="48" spans="1:7" ht="12.75">
      <c r="A48" s="46"/>
      <c r="B48" s="5"/>
      <c r="C48" s="5"/>
      <c r="D48" s="5"/>
      <c r="E48" s="5"/>
      <c r="F48" s="5"/>
      <c r="G48" s="43"/>
    </row>
    <row r="49" spans="1:7" ht="12.75">
      <c r="A49" s="46"/>
      <c r="B49" s="5"/>
      <c r="C49" s="5"/>
      <c r="D49" s="5"/>
      <c r="E49" s="5"/>
      <c r="F49" s="5"/>
      <c r="G49" s="43"/>
    </row>
    <row r="50" spans="1:7" ht="12.75">
      <c r="A50" s="46"/>
      <c r="B50" s="5"/>
      <c r="C50" s="5"/>
      <c r="D50" s="5"/>
      <c r="E50" s="5"/>
      <c r="F50" s="5"/>
      <c r="G50" s="43"/>
    </row>
    <row r="51" spans="1:7" ht="12.75">
      <c r="A51" s="46"/>
      <c r="B51" s="5"/>
      <c r="C51" s="5"/>
      <c r="D51" s="5"/>
      <c r="E51" s="5"/>
      <c r="F51" s="5"/>
      <c r="G51" s="43"/>
    </row>
    <row r="52" spans="1:7" ht="12.75">
      <c r="A52" s="46"/>
      <c r="B52" s="5"/>
      <c r="C52" s="5"/>
      <c r="D52" s="5"/>
      <c r="E52" s="5"/>
      <c r="F52" s="5"/>
      <c r="G52" s="43"/>
    </row>
    <row r="53" spans="1:7" ht="12.75">
      <c r="A53" s="46"/>
      <c r="B53" s="5"/>
      <c r="C53" s="5"/>
      <c r="D53" s="5"/>
      <c r="E53" s="5"/>
      <c r="F53" s="5"/>
      <c r="G53" s="43"/>
    </row>
    <row r="54" spans="1:7" ht="12.75">
      <c r="A54" s="46"/>
      <c r="B54" s="5"/>
      <c r="C54" s="5"/>
      <c r="D54" s="5"/>
      <c r="E54" s="5"/>
      <c r="F54" s="5"/>
      <c r="G54" s="43"/>
    </row>
    <row r="55" spans="1:7" ht="12.75">
      <c r="A55" s="46"/>
      <c r="B55" s="5"/>
      <c r="C55" s="5"/>
      <c r="D55" s="5"/>
      <c r="E55" s="5"/>
      <c r="F55" s="5"/>
      <c r="G55" s="43"/>
    </row>
    <row r="56" spans="1:7" ht="12.75">
      <c r="A56" s="46"/>
      <c r="B56" s="5"/>
      <c r="C56" s="5"/>
      <c r="D56" s="5"/>
      <c r="E56" s="5"/>
      <c r="F56" s="5"/>
      <c r="G56" s="43"/>
    </row>
    <row r="57" spans="1:7" ht="12.75">
      <c r="A57" s="46"/>
      <c r="B57" s="5"/>
      <c r="C57" s="5"/>
      <c r="D57" s="5"/>
      <c r="E57" s="5"/>
      <c r="F57" s="5"/>
      <c r="G57" s="43"/>
    </row>
    <row r="58" spans="1:7" ht="12.75">
      <c r="A58" s="46"/>
      <c r="B58" s="5"/>
      <c r="C58" s="5"/>
      <c r="D58" s="5"/>
      <c r="E58" s="5"/>
      <c r="F58" s="5"/>
      <c r="G58" s="43"/>
    </row>
    <row r="59" spans="1:7" ht="12.75">
      <c r="A59" s="46"/>
      <c r="B59" s="5"/>
      <c r="C59" s="5"/>
      <c r="D59" s="5"/>
      <c r="E59" s="5"/>
      <c r="F59" s="5"/>
      <c r="G59" s="43"/>
    </row>
    <row r="60" spans="1:7" ht="12.75">
      <c r="A60" s="46"/>
      <c r="B60" s="5"/>
      <c r="C60" s="5"/>
      <c r="D60" s="5"/>
      <c r="E60" s="5"/>
      <c r="F60" s="5"/>
      <c r="G60" s="43"/>
    </row>
    <row r="61" spans="1:7" ht="12.75">
      <c r="A61" s="46"/>
      <c r="B61" s="5"/>
      <c r="C61" s="5"/>
      <c r="D61" s="5"/>
      <c r="E61" s="5"/>
      <c r="F61" s="5"/>
      <c r="G61" s="43"/>
    </row>
    <row r="62" spans="1:7" ht="12.75">
      <c r="A62" s="46"/>
      <c r="B62" s="5"/>
      <c r="C62" s="5"/>
      <c r="D62" s="5"/>
      <c r="E62" s="5"/>
      <c r="F62" s="5"/>
      <c r="G62" s="43"/>
    </row>
    <row r="63" spans="1:7" ht="12.75">
      <c r="A63" s="46"/>
      <c r="B63" s="5"/>
      <c r="C63" s="5"/>
      <c r="D63" s="5"/>
      <c r="E63" s="5"/>
      <c r="F63" s="5"/>
      <c r="G63" s="43"/>
    </row>
    <row r="64" spans="1:7" ht="13.5" thickBot="1">
      <c r="A64" s="54"/>
      <c r="B64" s="13"/>
      <c r="C64" s="13"/>
      <c r="D64" s="13"/>
      <c r="E64" s="13"/>
      <c r="F64" s="13"/>
      <c r="G64" s="55"/>
    </row>
    <row r="65" spans="1:7" ht="12.75">
      <c r="A65" s="169"/>
      <c r="B65" s="170"/>
      <c r="C65" s="170"/>
      <c r="D65" s="170"/>
      <c r="E65" s="170"/>
      <c r="F65" s="170"/>
      <c r="G65" s="67"/>
    </row>
    <row r="66" spans="1:7" ht="12.75">
      <c r="A66" s="46"/>
      <c r="B66" s="5"/>
      <c r="C66" s="5"/>
      <c r="D66" s="5"/>
      <c r="E66" s="5"/>
      <c r="F66" s="5"/>
      <c r="G66" s="43"/>
    </row>
    <row r="67" spans="1:7" ht="12.75">
      <c r="A67" s="46"/>
      <c r="B67" s="5"/>
      <c r="C67" s="5"/>
      <c r="D67" s="5"/>
      <c r="E67" s="5"/>
      <c r="F67" s="5"/>
      <c r="G67" s="43"/>
    </row>
    <row r="68" spans="1:7" ht="12.75">
      <c r="A68" s="46"/>
      <c r="B68" s="5"/>
      <c r="C68" s="5"/>
      <c r="D68" s="5"/>
      <c r="E68" s="5"/>
      <c r="F68" s="5"/>
      <c r="G68" s="43"/>
    </row>
    <row r="69" spans="1:7" ht="12.75">
      <c r="A69" s="46"/>
      <c r="B69" s="5"/>
      <c r="C69" s="5"/>
      <c r="D69" s="5"/>
      <c r="E69" s="5"/>
      <c r="F69" s="5"/>
      <c r="G69" s="43"/>
    </row>
    <row r="70" spans="1:7" ht="12.75">
      <c r="A70" s="46"/>
      <c r="B70" s="5"/>
      <c r="C70" s="5"/>
      <c r="D70" s="5"/>
      <c r="E70" s="5"/>
      <c r="F70" s="5"/>
      <c r="G70" s="43"/>
    </row>
    <row r="71" spans="1:7" ht="12.75">
      <c r="A71" s="46"/>
      <c r="B71" s="5"/>
      <c r="C71" s="5"/>
      <c r="D71" s="5"/>
      <c r="E71" s="5"/>
      <c r="F71" s="5"/>
      <c r="G71" s="43"/>
    </row>
    <row r="72" spans="1:7" ht="12.75">
      <c r="A72" s="46"/>
      <c r="B72" s="5"/>
      <c r="C72" s="5"/>
      <c r="D72" s="5"/>
      <c r="E72" s="5"/>
      <c r="F72" s="5"/>
      <c r="G72" s="43"/>
    </row>
    <row r="73" spans="1:7" ht="12.75">
      <c r="A73" s="46"/>
      <c r="B73" s="5"/>
      <c r="C73" s="5"/>
      <c r="D73" s="5"/>
      <c r="E73" s="5"/>
      <c r="F73" s="5"/>
      <c r="G73" s="43"/>
    </row>
    <row r="74" spans="1:7" ht="12.75">
      <c r="A74" s="46"/>
      <c r="B74" s="5"/>
      <c r="C74" s="5"/>
      <c r="D74" s="5"/>
      <c r="E74" s="5"/>
      <c r="F74" s="5"/>
      <c r="G74" s="43"/>
    </row>
    <row r="75" spans="1:7" ht="12.75">
      <c r="A75" s="46"/>
      <c r="B75" s="5"/>
      <c r="C75" s="5"/>
      <c r="D75" s="5"/>
      <c r="E75" s="5"/>
      <c r="F75" s="5"/>
      <c r="G75" s="43"/>
    </row>
    <row r="76" spans="1:7" ht="12.75">
      <c r="A76" s="46"/>
      <c r="B76" s="5"/>
      <c r="C76" s="5"/>
      <c r="D76" s="5"/>
      <c r="E76" s="5"/>
      <c r="F76" s="5"/>
      <c r="G76" s="43"/>
    </row>
    <row r="77" spans="1:7" ht="12.75">
      <c r="A77" s="46"/>
      <c r="B77" s="5"/>
      <c r="C77" s="5"/>
      <c r="D77" s="5"/>
      <c r="E77" s="5"/>
      <c r="F77" s="5"/>
      <c r="G77" s="43"/>
    </row>
    <row r="78" spans="1:7" ht="12.75">
      <c r="A78" s="46"/>
      <c r="B78" s="5"/>
      <c r="C78" s="5"/>
      <c r="D78" s="5"/>
      <c r="E78" s="5"/>
      <c r="F78" s="5"/>
      <c r="G78" s="43"/>
    </row>
    <row r="79" spans="1:7" ht="12.75">
      <c r="A79" s="46"/>
      <c r="B79" s="5"/>
      <c r="C79" s="5"/>
      <c r="D79" s="5"/>
      <c r="E79" s="5"/>
      <c r="F79" s="5"/>
      <c r="G79" s="43"/>
    </row>
    <row r="80" spans="1:7" ht="12.75">
      <c r="A80" s="46"/>
      <c r="B80" s="5"/>
      <c r="C80" s="5"/>
      <c r="D80" s="5"/>
      <c r="E80" s="5"/>
      <c r="F80" s="5"/>
      <c r="G80" s="43"/>
    </row>
    <row r="81" spans="1:7" ht="13.5" thickBot="1">
      <c r="A81" s="54"/>
      <c r="B81" s="13"/>
      <c r="C81" s="13"/>
      <c r="D81" s="13"/>
      <c r="E81" s="13"/>
      <c r="F81" s="13"/>
      <c r="G81" s="55"/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&amp;LFile:  &amp;F
Sheet:  &amp;A
Page &amp;P of &amp;N&amp;CExperimental Mine
Val-d'Or&amp;R&amp;D
&amp;T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2004-05-07T15:01:16Z</cp:lastPrinted>
  <dcterms:created xsi:type="dcterms:W3CDTF">2000-06-27T14:00:10Z</dcterms:created>
  <dcterms:modified xsi:type="dcterms:W3CDTF">2004-05-13T13:17:22Z</dcterms:modified>
  <cp:category/>
  <cp:version/>
  <cp:contentType/>
  <cp:contentStatus/>
</cp:coreProperties>
</file>