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75" windowHeight="6195" activeTab="1"/>
  </bookViews>
  <sheets>
    <sheet name="UPPERS" sheetId="1" r:id="rId1"/>
    <sheet name="BREASTS" sheetId="2" r:id="rId2"/>
    <sheet name="MUCKING" sheetId="3" r:id="rId3"/>
    <sheet name="BACKFILL" sheetId="4" r:id="rId4"/>
    <sheet name="DRAWINGS" sheetId="5" r:id="rId5"/>
  </sheets>
  <definedNames>
    <definedName name="_xlnm.Print_Area" localSheetId="1">'BREASTS'!$A$5:$K$230</definedName>
    <definedName name="_xlnm.Print_Area" localSheetId="0">'UPPERS'!$A$5:$L$189</definedName>
    <definedName name="_xlnm.Print_Titles" localSheetId="1">'BREASTS'!$1:$4</definedName>
    <definedName name="_xlnm.Print_Titles" localSheetId="0">'UPPERS'!$1:$4</definedName>
    <definedName name="solver_adj" localSheetId="2" hidden="1">'MUCKING'!$C$64:$C$71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'MUCKING'!$B$77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Z_8BBB75D6_931B_11D4_9750_00B0D01AB7C9_.wvu.PrintArea" localSheetId="1" hidden="1">'BREASTS'!$A$5:$K$230</definedName>
    <definedName name="Z_8BBB75D6_931B_11D4_9750_00B0D01AB7C9_.wvu.PrintArea" localSheetId="0" hidden="1">'UPPERS'!$A$5:$L$189</definedName>
    <definedName name="Z_8BBB75D6_931B_11D4_9750_00B0D01AB7C9_.wvu.PrintTitles" localSheetId="1" hidden="1">'BREASTS'!$1:$4</definedName>
    <definedName name="Z_8BBB75D6_931B_11D4_9750_00B0D01AB7C9_.wvu.PrintTitles" localSheetId="0" hidden="1">'UPPERS'!$1:$4</definedName>
  </definedNames>
  <calcPr fullCalcOnLoad="1"/>
</workbook>
</file>

<file path=xl/comments1.xml><?xml version="1.0" encoding="utf-8"?>
<comments xmlns="http://schemas.openxmlformats.org/spreadsheetml/2006/main">
  <authors>
    <author>Canmet-MMSL</author>
    <author>rolacroi</author>
  </authors>
  <commentList>
    <comment ref="E104" authorId="0">
      <text>
        <r>
          <rPr>
            <b/>
            <sz val="9"/>
            <rFont val="Tahoma"/>
            <family val="2"/>
          </rPr>
          <t>see sheet " MUCKING "</t>
        </r>
      </text>
    </comment>
    <comment ref="F81" authorId="1">
      <text>
        <r>
          <rPr>
            <b/>
            <sz val="11"/>
            <rFont val="Tahoma"/>
            <family val="2"/>
          </rPr>
          <t>Length to be mined without the slot raises and the main raise</t>
        </r>
        <r>
          <rPr>
            <b/>
            <sz val="12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rFont val="Tahoma"/>
            <family val="2"/>
          </rPr>
          <t xml:space="preserve">Time necessary  to advance one meter inculding the back and the two walls and cleaning the bootlegs.
</t>
        </r>
      </text>
    </comment>
    <comment ref="I164" authorId="1">
      <text>
        <r>
          <rPr>
            <b/>
            <sz val="8"/>
            <rFont val="Tahoma"/>
            <family val="0"/>
          </rPr>
          <t>NOT PROPORTIONAL TO THE NUMBER OF MEN IN THE STOPE</t>
        </r>
        <r>
          <rPr>
            <sz val="8"/>
            <rFont val="Tahoma"/>
            <family val="0"/>
          </rPr>
          <t xml:space="preserve">
</t>
        </r>
      </text>
    </comment>
    <comment ref="E89" authorId="1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B104" authorId="0">
      <text>
        <r>
          <rPr>
            <b/>
            <sz val="9"/>
            <rFont val="Tahoma"/>
            <family val="2"/>
          </rPr>
          <t>see "MUCKING" sheet</t>
        </r>
      </text>
    </comment>
    <comment ref="F164" authorId="1">
      <text>
        <r>
          <rPr>
            <b/>
            <sz val="8"/>
            <rFont val="Tahoma"/>
            <family val="0"/>
          </rPr>
          <t>NOT PROPORTIONAL TO THE NUMBER OF MEN INSIDE THE STOPE</t>
        </r>
        <r>
          <rPr>
            <sz val="8"/>
            <rFont val="Tahoma"/>
            <family val="0"/>
          </rPr>
          <t xml:space="preserve">
</t>
        </r>
      </text>
    </comment>
    <comment ref="E134" authorId="1">
      <text>
        <r>
          <rPr>
            <sz val="11"/>
            <rFont val="Tahoma"/>
            <family val="2"/>
          </rPr>
          <t>The number of holes per blast must be a multiple of the "Number of holes per row" cell of the "Drilling pattern" section</t>
        </r>
      </text>
    </comment>
    <comment ref="B107" authorId="1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E107" authorId="1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J121" authorId="1">
      <text>
        <r>
          <rPr>
            <b/>
            <sz val="11"/>
            <rFont val="Tahoma"/>
            <family val="2"/>
          </rPr>
          <t>Distance between rows</t>
        </r>
      </text>
    </comment>
  </commentList>
</comments>
</file>

<file path=xl/comments2.xml><?xml version="1.0" encoding="utf-8"?>
<comments xmlns="http://schemas.openxmlformats.org/spreadsheetml/2006/main">
  <authors>
    <author>rolacroi</author>
    <author>Canmet-MMSL</author>
  </authors>
  <commentList>
    <comment ref="F167" authorId="0">
      <text>
        <r>
          <rPr>
            <b/>
            <sz val="8"/>
            <rFont val="Tahoma"/>
            <family val="0"/>
          </rPr>
          <t>NOT PROPORTIONAL TO THE NUMBER OF MEN INSIDE THE STOPE</t>
        </r>
      </text>
    </comment>
    <comment ref="F89" authorId="0">
      <text>
        <r>
          <rPr>
            <b/>
            <sz val="11"/>
            <rFont val="Tahoma"/>
            <family val="2"/>
          </rPr>
          <t>Length to be mined without the main raise</t>
        </r>
        <r>
          <rPr>
            <b/>
            <sz val="12"/>
            <rFont val="Tahoma"/>
            <family val="2"/>
          </rPr>
          <t xml:space="preserve">
</t>
        </r>
      </text>
    </comment>
    <comment ref="B97" authorId="0">
      <text>
        <r>
          <rPr>
            <b/>
            <sz val="11"/>
            <rFont val="Tahoma"/>
            <family val="2"/>
          </rPr>
          <t xml:space="preserve">Time required to scale one meter (the roof and the two walls) and to clean the bootlegs
</t>
        </r>
      </text>
    </comment>
    <comment ref="E114" authorId="1">
      <text>
        <r>
          <rPr>
            <b/>
            <sz val="9"/>
            <rFont val="Tahoma"/>
            <family val="2"/>
          </rPr>
          <t>see sheet " MUCKING "</t>
        </r>
      </text>
    </comment>
    <comment ref="B114" authorId="1">
      <text>
        <r>
          <rPr>
            <b/>
            <sz val="9"/>
            <rFont val="Tahoma"/>
            <family val="2"/>
          </rPr>
          <t>see "MUCKING" sheet</t>
        </r>
      </text>
    </comment>
    <comment ref="F206" authorId="0">
      <text>
        <r>
          <rPr>
            <b/>
            <sz val="8"/>
            <rFont val="Tahoma"/>
            <family val="0"/>
          </rPr>
          <t>NOT PROPORTIONAL TO THE NUMBER OF MEN INSIDE THE STOPE</t>
        </r>
      </text>
    </comment>
    <comment ref="B117" authorId="0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E117" authorId="0">
      <text>
        <r>
          <rPr>
            <b/>
            <sz val="9"/>
            <rFont val="Tahoma"/>
            <family val="2"/>
          </rPr>
          <t>If the grade does not justify the time required for the final clean-up, enter "0" in the "m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/hour" cell
</t>
        </r>
      </text>
    </comment>
    <comment ref="I206" authorId="0">
      <text>
        <r>
          <rPr>
            <b/>
            <sz val="8"/>
            <rFont val="Tahoma"/>
            <family val="0"/>
          </rPr>
          <t>NOT PROPORTIONAL TO THE NUMBER OF MEN INSIDE THE STOPE</t>
        </r>
      </text>
    </comment>
  </commentList>
</comments>
</file>

<file path=xl/comments3.xml><?xml version="1.0" encoding="utf-8"?>
<comments xmlns="http://schemas.openxmlformats.org/spreadsheetml/2006/main">
  <authors>
    <author>rolacroi</author>
    <author>Canmet-MMSL</author>
  </authors>
  <commentList>
    <comment ref="A6" authorId="0">
      <text>
        <r>
          <rPr>
            <b/>
            <u val="single"/>
            <sz val="11"/>
            <rFont val="Tahoma"/>
            <family val="2"/>
          </rPr>
          <t>Methodology: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1- </t>
        </r>
        <r>
          <rPr>
            <sz val="11"/>
            <rFont val="Tahoma"/>
            <family val="2"/>
          </rPr>
          <t xml:space="preserve">Enter the distance and availability per equipment. 
    (It is possible to optimize the distance per equipment) 
</t>
        </r>
        <r>
          <rPr>
            <b/>
            <sz val="11"/>
            <rFont val="Tahoma"/>
            <family val="2"/>
          </rPr>
          <t>2-</t>
        </r>
        <r>
          <rPr>
            <sz val="11"/>
            <rFont val="Tahoma"/>
            <family val="2"/>
          </rPr>
          <t xml:space="preserve"> Enter the broken ore density.
</t>
        </r>
        <r>
          <rPr>
            <b/>
            <sz val="11"/>
            <rFont val="Tahoma"/>
            <family val="2"/>
          </rPr>
          <t>3-</t>
        </r>
        <r>
          <rPr>
            <sz val="11"/>
            <rFont val="Tahoma"/>
            <family val="2"/>
          </rPr>
          <t xml:space="preserve"> Enter the chosen performance to use in the model.</t>
        </r>
      </text>
    </comment>
    <comment ref="H5" authorId="0">
      <text>
        <r>
          <rPr>
            <sz val="10"/>
            <rFont val="Tahoma"/>
            <family val="2"/>
          </rPr>
          <t xml:space="preserve">Enter the </t>
        </r>
        <r>
          <rPr>
            <b/>
            <u val="single"/>
            <sz val="10"/>
            <rFont val="Tahoma"/>
            <family val="2"/>
          </rPr>
          <t>average mucking distance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according to your stope configuration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u val="single"/>
            <sz val="10"/>
            <rFont val="Tahoma"/>
            <family val="2"/>
          </rPr>
          <t xml:space="preserve">Availability </t>
        </r>
        <r>
          <rPr>
            <sz val="10"/>
            <rFont val="Tahoma"/>
            <family val="2"/>
          </rPr>
          <t>observed at your site or from your references</t>
        </r>
      </text>
    </comment>
    <comment ref="C73" authorId="1">
      <text>
        <r>
          <rPr>
            <b/>
            <sz val="9"/>
            <rFont val="Tahoma"/>
            <family val="2"/>
          </rPr>
          <t>Modify the formula according to the one in the graph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rolacroi</author>
  </authors>
  <commentList>
    <comment ref="A9" authorId="0">
      <text>
        <r>
          <rPr>
            <sz val="9"/>
            <rFont val="Tahoma"/>
            <family val="2"/>
          </rPr>
          <t>Remove pipes, hoses, electric cables,  ventilation ducts</t>
        </r>
      </text>
    </comment>
    <comment ref="A42" authorId="0">
      <text>
        <r>
          <rPr>
            <sz val="10"/>
            <rFont val="Tahoma"/>
            <family val="2"/>
          </rPr>
          <t>Total time between the call and the arrival of the backfill flow</t>
        </r>
      </text>
    </comment>
    <comment ref="A56" authorId="0">
      <text>
        <r>
          <rPr>
            <sz val="10"/>
            <rFont val="Tahoma"/>
            <family val="2"/>
          </rPr>
          <t>Total time between the call and the arrival of the backfill flow</t>
        </r>
      </text>
    </comment>
  </commentList>
</comments>
</file>

<file path=xl/sharedStrings.xml><?xml version="1.0" encoding="utf-8"?>
<sst xmlns="http://schemas.openxmlformats.org/spreadsheetml/2006/main" count="690" uniqueCount="340">
  <si>
    <t>total :</t>
  </si>
  <si>
    <t>Lunch</t>
  </si>
  <si>
    <t>tonnes</t>
  </si>
  <si>
    <t>CAVO 310</t>
  </si>
  <si>
    <t>distance (m)</t>
  </si>
  <si>
    <t>m³</t>
  </si>
  <si>
    <t>SUPPORT</t>
  </si>
  <si>
    <t>VENTILATION</t>
  </si>
  <si>
    <t>NOTES</t>
  </si>
  <si>
    <t xml:space="preserve">Ventilation </t>
  </si>
  <si>
    <t xml:space="preserve"> +</t>
  </si>
  <si>
    <t xml:space="preserve"> =</t>
  </si>
  <si>
    <t>+</t>
  </si>
  <si>
    <t>=</t>
  </si>
  <si>
    <t>TOTAL</t>
  </si>
  <si>
    <t>µ =t/m³</t>
  </si>
  <si>
    <t>minutes</t>
  </si>
  <si>
    <t xml:space="preserve"> &lt;=&gt;</t>
  </si>
  <si>
    <t>-</t>
  </si>
  <si>
    <t xml:space="preserve"> /</t>
  </si>
  <si>
    <t>total</t>
  </si>
  <si>
    <t xml:space="preserve"> x</t>
  </si>
  <si>
    <t>hours/shift</t>
  </si>
  <si>
    <t>hours</t>
  </si>
  <si>
    <t>RELATED TO DRILLING</t>
  </si>
  <si>
    <t>RELATED TO GROUND</t>
  </si>
  <si>
    <t>Surveyors</t>
  </si>
  <si>
    <t>parameters</t>
  </si>
  <si>
    <t>ore density (t/m³)</t>
  </si>
  <si>
    <t>GROUND SUPPORT PARAMETERS</t>
  </si>
  <si>
    <t>total hours</t>
  </si>
  <si>
    <t>Aver. thickness (m)</t>
  </si>
  <si>
    <t>t/hour</t>
  </si>
  <si>
    <t>meters</t>
  </si>
  <si>
    <t>Average drilling rate</t>
  </si>
  <si>
    <t>Number of rows</t>
  </si>
  <si>
    <t>tonnes per hole</t>
  </si>
  <si>
    <t>Blasting</t>
  </si>
  <si>
    <t>for the entire lift</t>
  </si>
  <si>
    <t>Lift</t>
  </si>
  <si>
    <t>see support</t>
  </si>
  <si>
    <t>DRILLING</t>
  </si>
  <si>
    <t>MUCKING</t>
  </si>
  <si>
    <t>BLASTING</t>
  </si>
  <si>
    <t>MILLHOLES, MANWAYS, BACKFILL</t>
  </si>
  <si>
    <t>OTHERS</t>
  </si>
  <si>
    <t>FIXED</t>
  </si>
  <si>
    <t>PRODUCTIVE</t>
  </si>
  <si>
    <t>TOTAL  (STOPE)</t>
  </si>
  <si>
    <t>PRODUCTIVITY</t>
  </si>
  <si>
    <t>hours (backfill)</t>
  </si>
  <si>
    <t>LIFT BY UPPERS</t>
  </si>
  <si>
    <t>LIFT TOTAL</t>
  </si>
  <si>
    <t>BLASTING PARAMETERS</t>
  </si>
  <si>
    <t xml:space="preserve"> (evacuation of fumes)</t>
  </si>
  <si>
    <t>minutes required</t>
  </si>
  <si>
    <t xml:space="preserve">occupation rate of the shift per advance </t>
  </si>
  <si>
    <t xml:space="preserve">occupation rate of the stope per advance </t>
  </si>
  <si>
    <t>NUMBER OF HOURS PER SHIFT</t>
  </si>
  <si>
    <t xml:space="preserve">FIXED </t>
  </si>
  <si>
    <t xml:space="preserve">with a performance of </t>
  </si>
  <si>
    <t>equipment</t>
  </si>
  <si>
    <t>hoist</t>
  </si>
  <si>
    <t>m³/hour</t>
  </si>
  <si>
    <t>availability</t>
  </si>
  <si>
    <t>sh.tons/hour</t>
  </si>
  <si>
    <t>Enter your average operating distance</t>
  </si>
  <si>
    <t>ELECTRIC SCOOP     EJC 60E</t>
  </si>
  <si>
    <t>BACKFILL</t>
  </si>
  <si>
    <t>BACKFILL PREPARATION</t>
  </si>
  <si>
    <t>Actvities</t>
  </si>
  <si>
    <t>Time (hours)</t>
  </si>
  <si>
    <t># men</t>
  </si>
  <si>
    <t>number of trips</t>
  </si>
  <si>
    <t>with a fence</t>
  </si>
  <si>
    <t>without a fence</t>
  </si>
  <si>
    <t>Activities</t>
  </si>
  <si>
    <t>M-Sh</t>
  </si>
  <si>
    <t>BACKFILLING PER SHIFT</t>
  </si>
  <si>
    <t>BACKFILLING</t>
  </si>
  <si>
    <t>PER SHIFT</t>
  </si>
  <si>
    <t>Here are the most common steps</t>
  </si>
  <si>
    <t>ONLY DIRECT VARIABLE ACTIVITIES ARE INFLUENCED BY THE NUMBER OF MEN.</t>
  </si>
  <si>
    <t xml:space="preserve"> # advances</t>
  </si>
  <si>
    <t>Number of hours per shift</t>
  </si>
  <si>
    <t>6.0 - LIFT COMPILATION</t>
  </si>
  <si>
    <t>with a performance of</t>
  </si>
  <si>
    <t>MANSHIFTS</t>
  </si>
  <si>
    <t>SCALING</t>
  </si>
  <si>
    <t>DRILLING PARAMETERS</t>
  </si>
  <si>
    <t>Cage (at beginning and end of shift)</t>
  </si>
  <si>
    <t>Back and forth to stope</t>
  </si>
  <si>
    <t>Supervision</t>
  </si>
  <si>
    <t>Work planning</t>
  </si>
  <si>
    <t>Bring explosives</t>
  </si>
  <si>
    <t>hours/blast</t>
  </si>
  <si>
    <t>Manways *</t>
  </si>
  <si>
    <t>Frequency or Units</t>
  </si>
  <si>
    <t>Total Time               (min)</t>
  </si>
  <si>
    <t>m³/sh</t>
  </si>
  <si>
    <t>Travelling (shaft - refuge station - shaft)</t>
  </si>
  <si>
    <t>Other travelling delays</t>
  </si>
  <si>
    <t>Complete daily reports</t>
  </si>
  <si>
    <t>Connect the blast</t>
  </si>
  <si>
    <t>Store equipment and explosives</t>
  </si>
  <si>
    <t>3.0 - DIRECT FIXED ACTIVITIES PER LIFT (inside the stope)</t>
  </si>
  <si>
    <t>Mill holes *</t>
  </si>
  <si>
    <t>Mechanics and electricians</t>
  </si>
  <si>
    <t>Repairs in main access</t>
  </si>
  <si>
    <t>Clean and load holes</t>
  </si>
  <si>
    <t>holes/blast</t>
  </si>
  <si>
    <t>CONTINGENCY</t>
  </si>
  <si>
    <t>with a contingency of</t>
  </si>
  <si>
    <t>Contingency</t>
  </si>
  <si>
    <t xml:space="preserve"> (To use when blasting causes a delay during the shift or when the work schedule is 24 hours a day)</t>
  </si>
  <si>
    <t>tonnes/manshift</t>
  </si>
  <si>
    <t>In this section, you can optimize your operating parameters to simulate your operation or to find</t>
  </si>
  <si>
    <t>Broken ore density (t/m³)</t>
  </si>
  <si>
    <t>distance (ft)</t>
  </si>
  <si>
    <t>CONTINUOUS</t>
  </si>
  <si>
    <t xml:space="preserve">RELATED TO </t>
  </si>
  <si>
    <t>CUT AND FILL</t>
  </si>
  <si>
    <t>LIFT BY BREASTS</t>
  </si>
  <si>
    <t>1.0 - DIRECT FIXED ACTIVITIES PER SHIFT (outside the stope)</t>
  </si>
  <si>
    <t>Time                     (min)/Unit</t>
  </si>
  <si>
    <t>minutes/setup</t>
  </si>
  <si>
    <t>hours/setup</t>
  </si>
  <si>
    <t xml:space="preserve">Bring equipment and material </t>
  </si>
  <si>
    <t>Install setup platform</t>
  </si>
  <si>
    <t>Time                 (min)/Unit</t>
  </si>
  <si>
    <t>minutes/blast</t>
  </si>
  <si>
    <t>Remove setup platform</t>
  </si>
  <si>
    <t>Equipment checks</t>
  </si>
  <si>
    <t>Access verification</t>
  </si>
  <si>
    <t>Extra scaling</t>
  </si>
  <si>
    <t>Geologists</t>
  </si>
  <si>
    <t>Repair and install ventilation</t>
  </si>
  <si>
    <t>Barricades inside the stope *</t>
  </si>
  <si>
    <t>Install backfill line inside the stope</t>
  </si>
  <si>
    <t>Connect to the main line</t>
  </si>
  <si>
    <t>Wash the line before backfilling</t>
  </si>
  <si>
    <t>Wash the line after backfilling</t>
  </si>
  <si>
    <t>Spill fences (outside the stope)</t>
  </si>
  <si>
    <t>OTHER ACTIVITIES</t>
  </si>
  <si>
    <t>PER LIFT</t>
  </si>
  <si>
    <t>RELATED TO BACKFILL,</t>
  </si>
  <si>
    <t>MILL HOLES AND MANWAYS</t>
  </si>
  <si>
    <t>in Cut and Fill:</t>
  </si>
  <si>
    <t>The two slot raises at either end of the stope are optional.  If you would</t>
  </si>
  <si>
    <t>rounds per lift" cell in the "Slot raise parameters" section.</t>
  </si>
  <si>
    <t>Drilled length/round</t>
  </si>
  <si>
    <t>Broken length/round</t>
  </si>
  <si>
    <t>Total tonnes in rounds</t>
  </si>
  <si>
    <t>Length</t>
  </si>
  <si>
    <t>Average width</t>
  </si>
  <si>
    <t>Height</t>
  </si>
  <si>
    <t>Tonnes</t>
  </si>
  <si>
    <t>Wash, scale and clean bootlegs</t>
  </si>
  <si>
    <t>minutes/</t>
  </si>
  <si>
    <t>longitudinal m</t>
  </si>
  <si>
    <t>Roof pattern</t>
  </si>
  <si>
    <t>Hanging wall pattern</t>
  </si>
  <si>
    <t>Footwall pattern</t>
  </si>
  <si>
    <t xml:space="preserve">Drilling for support </t>
  </si>
  <si>
    <t>Installation of ground support</t>
  </si>
  <si>
    <t>(screen included)</t>
  </si>
  <si>
    <t>Mucking</t>
  </si>
  <si>
    <t>Meters to drill</t>
  </si>
  <si>
    <t>Calculation of required manhifts with contingency</t>
  </si>
  <si>
    <t>Required manhours</t>
  </si>
  <si>
    <t>Hours/shift</t>
  </si>
  <si>
    <t>Required manshifts</t>
  </si>
  <si>
    <t>with contingency</t>
  </si>
  <si>
    <t>Calculation of total number of required manshifts</t>
  </si>
  <si>
    <t xml:space="preserve">Total number of required shifts </t>
  </si>
  <si>
    <t>Men</t>
  </si>
  <si>
    <t xml:space="preserve">Required manshifts </t>
  </si>
  <si>
    <t>Calculation of number of shifts according to schedule</t>
  </si>
  <si>
    <t>Required manshifts with contingency</t>
  </si>
  <si>
    <t>Number of required shifts (schedule)</t>
  </si>
  <si>
    <t>Calculation of number of shifts of direct fixed activities</t>
  </si>
  <si>
    <t>Direct fixed hours/shift</t>
  </si>
  <si>
    <t>Number of shifts of direct fixed activities (schedule)</t>
  </si>
  <si>
    <t>Available hours inside the stope</t>
  </si>
  <si>
    <t>Drilled length/bolt</t>
  </si>
  <si>
    <t>Number of bolts/1.2 m advanced</t>
  </si>
  <si>
    <t>Drilled meters/m avanced</t>
  </si>
  <si>
    <t>FINAL FLOOR CLEAN-UP PARAMETERS</t>
  </si>
  <si>
    <t>Recovered tonnage</t>
  </si>
  <si>
    <t>Rounds</t>
  </si>
  <si>
    <t>Time required to drill a 1.2-m hole (min)</t>
  </si>
  <si>
    <t>Time required for repositioning, changing drilling steel and bits, etc per hole of 2.4 m (min)</t>
  </si>
  <si>
    <t>Total average time to drill a 2.4-m hole (min)</t>
  </si>
  <si>
    <t>(drilled meters per hour/man/drill)</t>
  </si>
  <si>
    <t>Drilled length (m)</t>
  </si>
  <si>
    <t>Broken length (m)</t>
  </si>
  <si>
    <t>Average width (m)</t>
  </si>
  <si>
    <t>tonnes/drilled m</t>
  </si>
  <si>
    <t>Hole diameter (mm)</t>
  </si>
  <si>
    <t>Explosive density (g/cc)</t>
  </si>
  <si>
    <r>
      <t>Powder factor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</si>
  <si>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>Number of blasts (lift)</t>
  </si>
  <si>
    <t>average time/         hole (min)</t>
  </si>
  <si>
    <t>total hours (lift)</t>
  </si>
  <si>
    <t>Total number of blasts (rounds + lift)</t>
  </si>
  <si>
    <t xml:space="preserve">minutes required </t>
  </si>
  <si>
    <t>/blast</t>
  </si>
  <si>
    <t>TABLE OF REQUIRED HOURS PER LIFT</t>
  </si>
  <si>
    <t>DIRECT FIXED          (hours)</t>
  </si>
  <si>
    <t>DIRECT VARIABLE  (hours)</t>
  </si>
  <si>
    <t>THEREFORE, ACCORDING TO THE NUMBER OF MEN ENTERED, WE OBTAIN:</t>
  </si>
  <si>
    <t>DIRECT VARIABLE  (hours) *</t>
  </si>
  <si>
    <t>REQUIRED MANHOURS</t>
  </si>
  <si>
    <t>REQUIRED MANSHIFTS</t>
  </si>
  <si>
    <t>REQUIRED NUMBER OF MEN</t>
  </si>
  <si>
    <t>manshift contingency</t>
  </si>
  <si>
    <t>required manshifts from direct fixed activities (outside the stope)</t>
  </si>
  <si>
    <t>total manshifts required</t>
  </si>
  <si>
    <t>2.0 - DIRECT FIXED ACTIVITIES PER STEP (inside the stope)</t>
  </si>
  <si>
    <t>Drainage system*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</si>
  <si>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/hour</t>
    </r>
  </si>
  <si>
    <t>Number of rounds/lift</t>
  </si>
  <si>
    <t>OUTSIDE STOPE</t>
  </si>
  <si>
    <t>manhours</t>
  </si>
  <si>
    <t>manshifts</t>
  </si>
  <si>
    <t>Drilled length</t>
  </si>
  <si>
    <t>Broken length</t>
  </si>
  <si>
    <t>Width</t>
  </si>
  <si>
    <t>Tonnes/breast</t>
  </si>
  <si>
    <t>Number of holes/breast</t>
  </si>
  <si>
    <t>ENTER YOUR CHOICE IN CYCLE CALCULATIONS</t>
  </si>
  <si>
    <t>tonnes/ hour</t>
  </si>
  <si>
    <t>YOUR EQUIPMENT</t>
  </si>
  <si>
    <t>HOIST         18.5 HP    @ 90psi                       (Ingersoll-Rand)</t>
  </si>
  <si>
    <r>
      <t>Surface to clean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</si>
  <si>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>Surface to clean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</si>
  <si>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for the lift</t>
  </si>
  <si>
    <t>Possible number of advances per shift</t>
  </si>
  <si>
    <t>5.1 - CALCULATION OF THE POSSIBLE NUMBER OF ADVANCES PER SHIFT ACCORDING TO ENTERED DATA:</t>
  </si>
  <si>
    <t>the required parameters to reach the desired performance.</t>
  </si>
  <si>
    <t>total hours                        (lift)</t>
  </si>
  <si>
    <t>total hours           (lift )</t>
  </si>
  <si>
    <t>Time required for drilling (hours)</t>
  </si>
  <si>
    <t>installation time            /bolt (min)</t>
  </si>
  <si>
    <t>average time/                     hole (min)</t>
  </si>
  <si>
    <t xml:space="preserve"> /blast</t>
  </si>
  <si>
    <t>TABLE OF REQUIRED HOURS PER BREAST</t>
  </si>
  <si>
    <t>PER ADVANCE</t>
  </si>
  <si>
    <t>DIRECT VARIABLE   (hours)</t>
  </si>
  <si>
    <t>DIRECT FIXED           (hours)</t>
  </si>
  <si>
    <t xml:space="preserve"> * The number of required hours is corrected according to the number of men entered in section 5.0.</t>
  </si>
  <si>
    <t>required manshifts inside the stope</t>
  </si>
  <si>
    <t xml:space="preserve">From your best estimate, you can maintain  </t>
  </si>
  <si>
    <t>INSIDE THE STOPE</t>
  </si>
  <si>
    <t>Clean the floor</t>
  </si>
  <si>
    <t>Remove services</t>
  </si>
  <si>
    <t>Install drainage</t>
  </si>
  <si>
    <t>Move equipment                            (with a fence)</t>
  </si>
  <si>
    <t>Move equipment                            (without a fence)</t>
  </si>
  <si>
    <t>length (m)</t>
  </si>
  <si>
    <t>number of parts</t>
  </si>
  <si>
    <t>productivity (m/hour)</t>
  </si>
  <si>
    <t>productivity (#/hour)</t>
  </si>
  <si>
    <t>Surface of floor       to clean (m²)</t>
  </si>
  <si>
    <t>Cleaning productivity                  (m²/hour)</t>
  </si>
  <si>
    <t>Direct fixed time outside the stope per shift</t>
  </si>
  <si>
    <t>Manshifts</t>
  </si>
  <si>
    <t>solid rate (m³/hour)</t>
  </si>
  <si>
    <t>Fixed time outside the stope</t>
  </si>
  <si>
    <t>Connect to main line</t>
  </si>
  <si>
    <t>Call the backfill</t>
  </si>
  <si>
    <t>Backfilling</t>
  </si>
  <si>
    <t>Wash the line</t>
  </si>
  <si>
    <t>required volume (m³)</t>
  </si>
  <si>
    <t>Backfilling/shift</t>
  </si>
  <si>
    <t>Number of required shifts</t>
  </si>
  <si>
    <t>SUMMARY - TOTAL MANSHIFTS REQUIRED</t>
  </si>
  <si>
    <t>rather use the main raise as a slot, just enter "0" in the "Number of</t>
  </si>
  <si>
    <t>number of blasts</t>
  </si>
  <si>
    <t>t/drilled m</t>
  </si>
  <si>
    <t>tonnes/hour</t>
  </si>
  <si>
    <t>drilled holes/round</t>
  </si>
  <si>
    <t>Required explosives (kg)</t>
  </si>
  <si>
    <t>(inside the stope)</t>
  </si>
  <si>
    <t>Scheduled hrs</t>
  </si>
  <si>
    <t>Breast</t>
  </si>
  <si>
    <t>Slot raise</t>
  </si>
  <si>
    <r>
      <t xml:space="preserve">Powder factor                      per breast             </t>
    </r>
    <r>
      <rPr>
        <sz val="11"/>
        <rFont val="Arial"/>
        <family val="2"/>
      </rPr>
      <t xml:space="preserve">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(kg/tonne)</t>
    </r>
  </si>
  <si>
    <t xml:space="preserve">contingency (ventilation included)  </t>
  </si>
  <si>
    <t>Available time inside the stope/shift</t>
  </si>
  <si>
    <t>Direct fixed time outside the stope/shift</t>
  </si>
  <si>
    <t>advance/shift</t>
  </si>
  <si>
    <t xml:space="preserve"> (see section 1.0 of the "UPPERS" or "BREASTS" worksheets)</t>
  </si>
  <si>
    <t>Steps for breast mining with a fence</t>
  </si>
  <si>
    <t>Steps for breast mining without a fence</t>
  </si>
  <si>
    <t>Steps for upper mining with a fence</t>
  </si>
  <si>
    <t>Table (entries, results)</t>
  </si>
  <si>
    <t>Final clean-up before backfill</t>
  </si>
  <si>
    <t>DRILLING PATTERN (uppers)</t>
  </si>
  <si>
    <t>length (m)/blast</t>
  </si>
  <si>
    <t>DRILLING PATTERN (breasts)</t>
  </si>
  <si>
    <t xml:space="preserve">DIRECT ACTIVITIES </t>
  </si>
  <si>
    <t>tonnes/hr</t>
  </si>
  <si>
    <t>Kg of explosives/meter</t>
  </si>
  <si>
    <t>Bring material</t>
  </si>
  <si>
    <t>Build mill holes and manways</t>
  </si>
  <si>
    <t>CONTINUOUS BACKFILLING</t>
  </si>
  <si>
    <t>WITH A FENCE</t>
  </si>
  <si>
    <t>WITHOUT A FENCE</t>
  </si>
  <si>
    <t>Bring and prepare material</t>
  </si>
  <si>
    <t>Store equipment and material</t>
  </si>
  <si>
    <t>Prepare material</t>
  </si>
  <si>
    <t>Store material</t>
  </si>
  <si>
    <t>Move equipment prior to backfill</t>
  </si>
  <si>
    <t>DIRECT ACTIVITIES PER LIFT</t>
  </si>
  <si>
    <t>Build fences</t>
  </si>
  <si>
    <t>4.0 - DIRECT VARIABLE ACTIVITIES PER STEP (inside the stope)</t>
  </si>
  <si>
    <t>4.2 - Scaling</t>
  </si>
  <si>
    <t>4.3 - Ground Support</t>
  </si>
  <si>
    <t>4.4 - Mucking or Scraping</t>
  </si>
  <si>
    <t>4.5 - Drilling</t>
  </si>
  <si>
    <t>4.6 - Loading and Blasting</t>
  </si>
  <si>
    <t>4.8 - Backfill</t>
  </si>
  <si>
    <t>5.0 - LIFT COMPILATION</t>
  </si>
  <si>
    <t>5.0 - BREAST COMPILATION</t>
  </si>
  <si>
    <t xml:space="preserve"> * must include material handling and construction</t>
  </si>
  <si>
    <t xml:space="preserve">   Number of holes/row</t>
  </si>
  <si>
    <t>4.1 - Lift  Dimensions</t>
  </si>
  <si>
    <t>TOTAL (STOPE)</t>
  </si>
  <si>
    <t xml:space="preserve">which represents an occupation rate of the shift (contingency included) of  </t>
  </si>
  <si>
    <t># holes</t>
  </si>
  <si>
    <t>4.7 - Ventilation</t>
  </si>
  <si>
    <t>Time required for repositioning, changing drilling steel and bits, etc. per hole of 2.4 m (min)</t>
  </si>
  <si>
    <t xml:space="preserve">allocated time for contingency </t>
  </si>
  <si>
    <t xml:space="preserve">total time required inside the stope (contingency included) </t>
  </si>
  <si>
    <t xml:space="preserve">total time of direct fixed activities outside the stope </t>
  </si>
  <si>
    <t xml:space="preserve">total time required per advance </t>
  </si>
  <si>
    <t>Version:  April 13, 2004</t>
  </si>
  <si>
    <t>Burden (m)</t>
  </si>
  <si>
    <t>Version:  May 11,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</si>
</sst>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0"/>
    <numFmt numFmtId="175" formatCode="_(* #,##0.0_);_(* \(#,##0.0\);_(* &quot;-&quot;??_);_(@_)"/>
    <numFmt numFmtId="176" formatCode="0.0000000000000"/>
    <numFmt numFmtId="177" formatCode="0.000000000000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24"/>
      <name val="Arial Black"/>
      <family val="2"/>
    </font>
    <font>
      <b/>
      <sz val="8"/>
      <name val="Tahoma"/>
      <family val="0"/>
    </font>
    <font>
      <sz val="12"/>
      <name val="Arial"/>
      <family val="2"/>
    </font>
    <font>
      <sz val="9.75"/>
      <name val="Arial"/>
      <family val="0"/>
    </font>
    <font>
      <sz val="14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u val="single"/>
      <sz val="1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2"/>
      <name val="Tahoma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vertAlign val="superscript"/>
      <sz val="9"/>
      <name val="Tahoma"/>
      <family val="2"/>
    </font>
    <font>
      <b/>
      <vertAlign val="superscript"/>
      <sz val="12"/>
      <name val="Arial"/>
      <family val="2"/>
    </font>
    <font>
      <b/>
      <sz val="10.75"/>
      <name val="Arial"/>
      <family val="2"/>
    </font>
    <font>
      <b/>
      <vertAlign val="superscript"/>
      <sz val="11"/>
      <name val="Arial"/>
      <family val="2"/>
    </font>
    <font>
      <sz val="9.5"/>
      <name val="Arial"/>
      <family val="2"/>
    </font>
    <font>
      <b/>
      <sz val="10"/>
      <name val="Tahoma"/>
      <family val="2"/>
    </font>
    <font>
      <vertAlign val="superscript"/>
      <sz val="10"/>
      <name val="Arial"/>
      <family val="0"/>
    </font>
    <font>
      <vertAlign val="superscript"/>
      <sz val="9.7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0" borderId="0" xfId="0" applyFont="1" applyBorder="1" applyAlignment="1">
      <alignment horizontal="left" indent="2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Border="1" applyAlignment="1" quotePrefix="1">
      <alignment horizontal="center" wrapText="1"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5" xfId="0" applyFill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2" borderId="22" xfId="0" applyFill="1" applyBorder="1" applyAlignment="1">
      <alignment horizontal="center"/>
    </xf>
    <xf numFmtId="2" fontId="0" fillId="0" borderId="0" xfId="0" applyNumberFormat="1" applyAlignment="1">
      <alignment/>
    </xf>
    <xf numFmtId="165" fontId="0" fillId="2" borderId="1" xfId="0" applyNumberFormat="1" applyFill="1" applyBorder="1" applyAlignment="1">
      <alignment horizontal="center"/>
    </xf>
    <xf numFmtId="0" fontId="2" fillId="0" borderId="23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15" xfId="0" applyBorder="1" applyAlignment="1">
      <alignment horizontal="left"/>
    </xf>
    <xf numFmtId="165" fontId="0" fillId="2" borderId="1" xfId="0" applyNumberFormat="1" applyFill="1" applyBorder="1" applyAlignment="1">
      <alignment/>
    </xf>
    <xf numFmtId="0" fontId="17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20" fillId="0" borderId="0" xfId="0" applyFont="1" applyAlignment="1">
      <alignment/>
    </xf>
    <xf numFmtId="0" fontId="0" fillId="0" borderId="15" xfId="0" applyBorder="1" applyAlignment="1">
      <alignment/>
    </xf>
    <xf numFmtId="0" fontId="0" fillId="2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0" fillId="2" borderId="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20" fillId="2" borderId="4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2" borderId="26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2" fontId="20" fillId="2" borderId="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30" fillId="0" borderId="0" xfId="0" applyFont="1" applyBorder="1" applyAlignment="1">
      <alignment horizontal="left" indent="1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9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9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165" fontId="20" fillId="2" borderId="0" xfId="0" applyNumberFormat="1" applyFont="1" applyFill="1" applyAlignment="1">
      <alignment/>
    </xf>
    <xf numFmtId="0" fontId="29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32" fillId="0" borderId="0" xfId="0" applyFont="1" applyAlignment="1">
      <alignment horizontal="left" indent="1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 indent="2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0" fontId="0" fillId="4" borderId="0" xfId="0" applyFill="1" applyAlignment="1">
      <alignment/>
    </xf>
    <xf numFmtId="0" fontId="0" fillId="0" borderId="28" xfId="0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2" borderId="32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2" fontId="20" fillId="2" borderId="15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0" xfId="0" applyFont="1" applyAlignment="1">
      <alignment horizontal="left" indent="1"/>
    </xf>
    <xf numFmtId="0" fontId="2" fillId="3" borderId="6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/>
    </xf>
    <xf numFmtId="165" fontId="13" fillId="2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0" fillId="0" borderId="0" xfId="0" applyBorder="1" applyAlignment="1">
      <alignment horizontal="left" indent="4"/>
    </xf>
    <xf numFmtId="0" fontId="2" fillId="0" borderId="0" xfId="0" applyFont="1" applyBorder="1" applyAlignment="1">
      <alignment horizontal="left" indent="1"/>
    </xf>
    <xf numFmtId="0" fontId="33" fillId="0" borderId="0" xfId="0" applyFont="1" applyAlignment="1">
      <alignment/>
    </xf>
    <xf numFmtId="2" fontId="1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34" fillId="0" borderId="0" xfId="0" applyFont="1" applyAlignment="1">
      <alignment/>
    </xf>
    <xf numFmtId="1" fontId="2" fillId="2" borderId="26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5" fontId="13" fillId="2" borderId="35" xfId="0" applyNumberFormat="1" applyFont="1" applyFill="1" applyBorder="1" applyAlignment="1">
      <alignment horizontal="center"/>
    </xf>
    <xf numFmtId="165" fontId="13" fillId="2" borderId="36" xfId="0" applyNumberFormat="1" applyFont="1" applyFill="1" applyBorder="1" applyAlignment="1">
      <alignment horizontal="center"/>
    </xf>
    <xf numFmtId="165" fontId="13" fillId="2" borderId="37" xfId="0" applyNumberFormat="1" applyFont="1" applyFill="1" applyBorder="1" applyAlignment="1">
      <alignment horizontal="center"/>
    </xf>
    <xf numFmtId="165" fontId="13" fillId="2" borderId="38" xfId="0" applyNumberFormat="1" applyFont="1" applyFill="1" applyBorder="1" applyAlignment="1">
      <alignment horizontal="center"/>
    </xf>
    <xf numFmtId="9" fontId="0" fillId="0" borderId="9" xfId="19" applyBorder="1" applyAlignment="1">
      <alignment horizontal="center"/>
    </xf>
    <xf numFmtId="9" fontId="0" fillId="0" borderId="2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9" fontId="0" fillId="0" borderId="27" xfId="19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0" fillId="0" borderId="41" xfId="0" applyFont="1" applyBorder="1" applyAlignment="1">
      <alignment horizontal="left" indent="4"/>
    </xf>
    <xf numFmtId="0" fontId="20" fillId="0" borderId="41" xfId="0" applyFont="1" applyBorder="1" applyAlignment="1">
      <alignment/>
    </xf>
    <xf numFmtId="0" fontId="0" fillId="0" borderId="41" xfId="0" applyBorder="1" applyAlignment="1">
      <alignment/>
    </xf>
    <xf numFmtId="1" fontId="20" fillId="2" borderId="1" xfId="0" applyNumberFormat="1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3" fillId="0" borderId="0" xfId="0" applyFont="1" applyAlignment="1">
      <alignment horizontal="right"/>
    </xf>
    <xf numFmtId="2" fontId="20" fillId="2" borderId="0" xfId="0" applyNumberFormat="1" applyFont="1" applyFill="1" applyAlignment="1">
      <alignment/>
    </xf>
    <xf numFmtId="0" fontId="0" fillId="0" borderId="43" xfId="0" applyBorder="1" applyAlignment="1">
      <alignment/>
    </xf>
    <xf numFmtId="0" fontId="0" fillId="2" borderId="29" xfId="0" applyFill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8" xfId="0" applyBorder="1" applyAlignment="1">
      <alignment/>
    </xf>
    <xf numFmtId="2" fontId="0" fillId="2" borderId="44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 indent="4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  <xf numFmtId="0" fontId="3" fillId="0" borderId="27" xfId="0" applyFont="1" applyBorder="1" applyAlignment="1">
      <alignment/>
    </xf>
    <xf numFmtId="0" fontId="0" fillId="0" borderId="27" xfId="0" applyBorder="1" applyAlignment="1">
      <alignment horizontal="left" indent="2"/>
    </xf>
    <xf numFmtId="0" fontId="3" fillId="0" borderId="27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9" fillId="0" borderId="0" xfId="0" applyFont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6" fillId="2" borderId="45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left" indent="2"/>
    </xf>
    <xf numFmtId="164" fontId="0" fillId="2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9" fontId="1" fillId="0" borderId="1" xfId="19" applyFont="1" applyFill="1" applyBorder="1" applyAlignment="1">
      <alignment horizontal="center"/>
    </xf>
    <xf numFmtId="165" fontId="2" fillId="2" borderId="35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165" fontId="2" fillId="2" borderId="36" xfId="0" applyNumberFormat="1" applyFont="1" applyFill="1" applyBorder="1" applyAlignment="1">
      <alignment horizontal="center"/>
    </xf>
    <xf numFmtId="165" fontId="2" fillId="2" borderId="37" xfId="0" applyNumberFormat="1" applyFont="1" applyFill="1" applyBorder="1" applyAlignment="1">
      <alignment horizontal="center"/>
    </xf>
    <xf numFmtId="165" fontId="2" fillId="2" borderId="38" xfId="0" applyNumberFormat="1" applyFont="1" applyFill="1" applyBorder="1" applyAlignment="1">
      <alignment horizontal="center"/>
    </xf>
    <xf numFmtId="9" fontId="0" fillId="0" borderId="2" xfId="19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right"/>
    </xf>
    <xf numFmtId="175" fontId="0" fillId="2" borderId="1" xfId="15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165" fontId="13" fillId="6" borderId="1" xfId="0" applyNumberFormat="1" applyFont="1" applyFill="1" applyBorder="1" applyAlignment="1">
      <alignment/>
    </xf>
    <xf numFmtId="2" fontId="13" fillId="6" borderId="1" xfId="0" applyNumberFormat="1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2" fontId="0" fillId="7" borderId="11" xfId="0" applyNumberForma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46" xfId="0" applyBorder="1" applyAlignment="1">
      <alignment horizontal="right"/>
    </xf>
    <xf numFmtId="0" fontId="0" fillId="3" borderId="4" xfId="0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6" fillId="0" borderId="42" xfId="0" applyFont="1" applyBorder="1" applyAlignment="1">
      <alignment/>
    </xf>
    <xf numFmtId="0" fontId="37" fillId="0" borderId="42" xfId="0" applyFont="1" applyBorder="1" applyAlignment="1">
      <alignment/>
    </xf>
    <xf numFmtId="0" fontId="0" fillId="2" borderId="48" xfId="0" applyFill="1" applyBorder="1" applyAlignment="1">
      <alignment horizontal="center"/>
    </xf>
    <xf numFmtId="0" fontId="18" fillId="0" borderId="18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7" borderId="1" xfId="0" applyFont="1" applyFill="1" applyBorder="1" applyAlignment="1" applyProtection="1">
      <alignment/>
      <protection locked="0"/>
    </xf>
    <xf numFmtId="0" fontId="20" fillId="7" borderId="0" xfId="0" applyFont="1" applyFill="1" applyAlignment="1" applyProtection="1">
      <alignment horizontal="left" indent="2"/>
      <protection locked="0"/>
    </xf>
    <xf numFmtId="0" fontId="0" fillId="7" borderId="1" xfId="0" applyFill="1" applyBorder="1" applyAlignment="1" applyProtection="1">
      <alignment/>
      <protection locked="0"/>
    </xf>
    <xf numFmtId="0" fontId="20" fillId="7" borderId="0" xfId="0" applyFont="1" applyFill="1" applyBorder="1" applyAlignment="1" applyProtection="1">
      <alignment horizontal="left" indent="2"/>
      <protection locked="0"/>
    </xf>
    <xf numFmtId="0" fontId="20" fillId="7" borderId="0" xfId="0" applyFont="1" applyFill="1" applyBorder="1" applyAlignment="1" applyProtection="1">
      <alignment/>
      <protection locked="0"/>
    </xf>
    <xf numFmtId="0" fontId="20" fillId="7" borderId="9" xfId="0" applyFont="1" applyFill="1" applyBorder="1" applyAlignment="1" applyProtection="1">
      <alignment/>
      <protection locked="0"/>
    </xf>
    <xf numFmtId="0" fontId="20" fillId="7" borderId="15" xfId="0" applyFont="1" applyFill="1" applyBorder="1" applyAlignment="1" applyProtection="1">
      <alignment/>
      <protection locked="0"/>
    </xf>
    <xf numFmtId="0" fontId="20" fillId="7" borderId="5" xfId="0" applyFont="1" applyFill="1" applyBorder="1" applyAlignment="1" applyProtection="1">
      <alignment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165" fontId="0" fillId="7" borderId="17" xfId="0" applyNumberFormat="1" applyFill="1" applyBorder="1" applyAlignment="1" applyProtection="1">
      <alignment horizontal="center"/>
      <protection locked="0"/>
    </xf>
    <xf numFmtId="1" fontId="0" fillId="7" borderId="17" xfId="0" applyNumberForma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2" fontId="0" fillId="7" borderId="1" xfId="0" applyNumberFormat="1" applyFont="1" applyFill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/>
      <protection locked="0"/>
    </xf>
    <xf numFmtId="164" fontId="2" fillId="7" borderId="1" xfId="0" applyNumberFormat="1" applyFont="1" applyFill="1" applyBorder="1" applyAlignment="1" applyProtection="1">
      <alignment/>
      <protection locked="0"/>
    </xf>
    <xf numFmtId="165" fontId="0" fillId="7" borderId="2" xfId="0" applyNumberFormat="1" applyFill="1" applyBorder="1" applyAlignment="1" applyProtection="1">
      <alignment horizontal="center"/>
      <protection locked="0"/>
    </xf>
    <xf numFmtId="0" fontId="20" fillId="7" borderId="1" xfId="0" applyFont="1" applyFill="1" applyBorder="1" applyAlignment="1" applyProtection="1">
      <alignment horizontal="center"/>
      <protection locked="0"/>
    </xf>
    <xf numFmtId="0" fontId="20" fillId="7" borderId="0" xfId="0" applyFont="1" applyFill="1" applyAlignment="1">
      <alignment horizontal="left" indent="2"/>
    </xf>
    <xf numFmtId="2" fontId="0" fillId="7" borderId="22" xfId="0" applyNumberFormat="1" applyFill="1" applyBorder="1" applyAlignment="1" applyProtection="1">
      <alignment horizontal="center"/>
      <protection locked="0"/>
    </xf>
    <xf numFmtId="165" fontId="0" fillId="7" borderId="22" xfId="0" applyNumberFormat="1" applyFill="1" applyBorder="1" applyAlignment="1" applyProtection="1">
      <alignment horizontal="center"/>
      <protection locked="0"/>
    </xf>
    <xf numFmtId="1" fontId="6" fillId="7" borderId="29" xfId="0" applyNumberFormat="1" applyFont="1" applyFill="1" applyBorder="1" applyAlignment="1" applyProtection="1">
      <alignment horizontal="center"/>
      <protection locked="0"/>
    </xf>
    <xf numFmtId="2" fontId="20" fillId="7" borderId="1" xfId="0" applyNumberFormat="1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2" fontId="1" fillId="7" borderId="49" xfId="0" applyNumberFormat="1" applyFont="1" applyFill="1" applyBorder="1" applyAlignment="1" applyProtection="1">
      <alignment horizontal="center"/>
      <protection locked="0"/>
    </xf>
    <xf numFmtId="0" fontId="20" fillId="7" borderId="0" xfId="0" applyFont="1" applyFill="1" applyAlignment="1" applyProtection="1">
      <alignment horizontal="left"/>
      <protection locked="0"/>
    </xf>
    <xf numFmtId="0" fontId="2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0" fillId="0" borderId="0" xfId="0" applyFont="1" applyAlignment="1">
      <alignment horizontal="left"/>
    </xf>
    <xf numFmtId="2" fontId="0" fillId="2" borderId="1" xfId="0" applyNumberFormat="1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8" borderId="52" xfId="0" applyFill="1" applyBorder="1" applyAlignment="1">
      <alignment vertical="center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9" fontId="2" fillId="7" borderId="1" xfId="19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 wrapText="1"/>
      <protection locked="0"/>
    </xf>
    <xf numFmtId="0" fontId="13" fillId="7" borderId="23" xfId="0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3" borderId="52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0" fillId="2" borderId="1" xfId="0" applyNumberFormat="1" applyFont="1" applyFill="1" applyBorder="1" applyAlignment="1">
      <alignment/>
    </xf>
    <xf numFmtId="164" fontId="1" fillId="7" borderId="1" xfId="19" applyNumberFormat="1" applyFont="1" applyFill="1" applyBorder="1" applyAlignment="1" applyProtection="1">
      <alignment/>
      <protection locked="0"/>
    </xf>
    <xf numFmtId="1" fontId="13" fillId="2" borderId="0" xfId="0" applyNumberFormat="1" applyFont="1" applyFill="1" applyAlignment="1">
      <alignment/>
    </xf>
    <xf numFmtId="165" fontId="3" fillId="2" borderId="26" xfId="0" applyNumberFormat="1" applyFont="1" applyFill="1" applyBorder="1" applyAlignment="1">
      <alignment/>
    </xf>
    <xf numFmtId="165" fontId="3" fillId="2" borderId="45" xfId="0" applyNumberFormat="1" applyFont="1" applyFill="1" applyBorder="1" applyAlignment="1">
      <alignment/>
    </xf>
    <xf numFmtId="164" fontId="1" fillId="2" borderId="1" xfId="1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7" borderId="15" xfId="0" applyFill="1" applyBorder="1" applyAlignment="1" applyProtection="1">
      <alignment horizontal="center"/>
      <protection locked="0"/>
    </xf>
    <xf numFmtId="165" fontId="0" fillId="7" borderId="15" xfId="0" applyNumberFormat="1" applyFill="1" applyBorder="1" applyAlignment="1">
      <alignment horizontal="center"/>
    </xf>
    <xf numFmtId="0" fontId="0" fillId="7" borderId="26" xfId="0" applyFill="1" applyBorder="1" applyAlignment="1" applyProtection="1">
      <alignment horizontal="center"/>
      <protection locked="0"/>
    </xf>
    <xf numFmtId="165" fontId="0" fillId="7" borderId="1" xfId="0" applyNumberFormat="1" applyFill="1" applyBorder="1" applyAlignment="1" applyProtection="1">
      <alignment horizontal="center"/>
      <protection locked="0"/>
    </xf>
    <xf numFmtId="165" fontId="0" fillId="2" borderId="51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3" borderId="40" xfId="0" applyFill="1" applyBorder="1" applyAlignment="1">
      <alignment/>
    </xf>
    <xf numFmtId="0" fontId="18" fillId="0" borderId="0" xfId="0" applyFont="1" applyAlignment="1">
      <alignment horizontal="left"/>
    </xf>
    <xf numFmtId="0" fontId="0" fillId="2" borderId="56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5" fontId="13" fillId="2" borderId="14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0" fillId="7" borderId="19" xfId="0" applyNumberFormat="1" applyFont="1" applyFill="1" applyBorder="1" applyAlignment="1">
      <alignment horizontal="center"/>
    </xf>
    <xf numFmtId="165" fontId="0" fillId="7" borderId="20" xfId="0" applyNumberFormat="1" applyFont="1" applyFill="1" applyBorder="1" applyAlignment="1">
      <alignment horizontal="center"/>
    </xf>
    <xf numFmtId="165" fontId="0" fillId="7" borderId="21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5" fontId="0" fillId="7" borderId="60" xfId="0" applyNumberFormat="1" applyFill="1" applyBorder="1" applyAlignment="1">
      <alignment horizontal="center"/>
    </xf>
    <xf numFmtId="165" fontId="0" fillId="7" borderId="61" xfId="0" applyNumberForma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20" fillId="3" borderId="55" xfId="0" applyFont="1" applyFill="1" applyBorder="1" applyAlignment="1">
      <alignment horizontal="center" vertical="center"/>
    </xf>
    <xf numFmtId="0" fontId="20" fillId="3" borderId="65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left" indent="1"/>
    </xf>
    <xf numFmtId="0" fontId="16" fillId="3" borderId="9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center" textRotation="90" wrapText="1"/>
    </xf>
    <xf numFmtId="0" fontId="2" fillId="3" borderId="70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0" fillId="0" borderId="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2" fillId="0" borderId="15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9" fontId="0" fillId="0" borderId="72" xfId="19" applyBorder="1" applyAlignment="1">
      <alignment horizontal="center"/>
    </xf>
    <xf numFmtId="9" fontId="0" fillId="0" borderId="73" xfId="19" applyBorder="1" applyAlignment="1">
      <alignment horizontal="center"/>
    </xf>
    <xf numFmtId="0" fontId="20" fillId="0" borderId="0" xfId="0" applyFont="1" applyFill="1" applyAlignment="1">
      <alignment horizontal="left" indent="2"/>
    </xf>
    <xf numFmtId="0" fontId="20" fillId="0" borderId="8" xfId="0" applyFont="1" applyFill="1" applyBorder="1" applyAlignment="1">
      <alignment horizontal="left" indent="2"/>
    </xf>
    <xf numFmtId="0" fontId="20" fillId="7" borderId="0" xfId="0" applyFont="1" applyFill="1" applyAlignment="1" applyProtection="1">
      <alignment horizontal="left" indent="2"/>
      <protection locked="0"/>
    </xf>
    <xf numFmtId="0" fontId="20" fillId="7" borderId="8" xfId="0" applyFont="1" applyFill="1" applyBorder="1" applyAlignment="1" applyProtection="1">
      <alignment horizontal="left" indent="2"/>
      <protection locked="0"/>
    </xf>
    <xf numFmtId="0" fontId="2" fillId="8" borderId="74" xfId="0" applyFont="1" applyFill="1" applyBorder="1" applyAlignment="1">
      <alignment horizontal="center" vertical="center"/>
    </xf>
    <xf numFmtId="0" fontId="2" fillId="8" borderId="75" xfId="0" applyFont="1" applyFill="1" applyBorder="1" applyAlignment="1">
      <alignment horizontal="center" vertical="center"/>
    </xf>
    <xf numFmtId="165" fontId="13" fillId="2" borderId="76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0" fillId="3" borderId="62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0" fillId="3" borderId="2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2" fontId="20" fillId="2" borderId="43" xfId="0" applyNumberFormat="1" applyFont="1" applyFill="1" applyBorder="1" applyAlignment="1">
      <alignment horizontal="center"/>
    </xf>
    <xf numFmtId="2" fontId="20" fillId="2" borderId="6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0" fillId="0" borderId="8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5" fontId="13" fillId="2" borderId="84" xfId="0" applyNumberFormat="1" applyFont="1" applyFill="1" applyBorder="1" applyAlignment="1">
      <alignment horizontal="center" vertical="center"/>
    </xf>
    <xf numFmtId="165" fontId="13" fillId="2" borderId="47" xfId="0" applyNumberFormat="1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3" borderId="62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165" fontId="0" fillId="2" borderId="19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/>
    </xf>
    <xf numFmtId="0" fontId="20" fillId="3" borderId="65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9" borderId="57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5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1"/>
    </xf>
    <xf numFmtId="165" fontId="2" fillId="2" borderId="76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9" fontId="0" fillId="0" borderId="27" xfId="19" applyBorder="1" applyAlignment="1">
      <alignment horizontal="center"/>
    </xf>
    <xf numFmtId="9" fontId="0" fillId="0" borderId="3" xfId="19" applyBorder="1" applyAlignment="1">
      <alignment horizontal="center"/>
    </xf>
    <xf numFmtId="0" fontId="0" fillId="8" borderId="86" xfId="0" applyFill="1" applyBorder="1" applyAlignment="1">
      <alignment horizontal="center"/>
    </xf>
    <xf numFmtId="0" fontId="0" fillId="8" borderId="78" xfId="0" applyFill="1" applyBorder="1" applyAlignment="1">
      <alignment horizontal="center"/>
    </xf>
    <xf numFmtId="0" fontId="0" fillId="8" borderId="87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2" borderId="60" xfId="0" applyNumberFormat="1" applyFont="1" applyFill="1" applyBorder="1" applyAlignment="1">
      <alignment horizontal="center"/>
    </xf>
    <xf numFmtId="1" fontId="1" fillId="2" borderId="5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7" borderId="19" xfId="0" applyFont="1" applyFill="1" applyBorder="1" applyAlignment="1" applyProtection="1">
      <alignment horizontal="center"/>
      <protection locked="0"/>
    </xf>
    <xf numFmtId="0" fontId="2" fillId="7" borderId="21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3" fillId="0" borderId="55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7" borderId="15" xfId="0" applyNumberFormat="1" applyFill="1" applyBorder="1" applyAlignment="1" applyProtection="1">
      <alignment horizontal="center"/>
      <protection locked="0"/>
    </xf>
    <xf numFmtId="165" fontId="0" fillId="7" borderId="11" xfId="0" applyNumberFormat="1" applyFill="1" applyBorder="1" applyAlignment="1" applyProtection="1">
      <alignment horizontal="center"/>
      <protection locked="0"/>
    </xf>
    <xf numFmtId="0" fontId="3" fillId="3" borderId="55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2" fillId="8" borderId="65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PERFORMANCE OF CAVO 310</a:t>
            </a:r>
          </a:p>
        </c:rich>
      </c:tx>
      <c:layout>
        <c:manualLayout>
          <c:xMode val="factor"/>
          <c:yMode val="factor"/>
          <c:x val="0.043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09375"/>
          <c:w val="0.8895"/>
          <c:h val="0.79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MUCKING!$A$33:$A$37</c:f>
              <c:numCach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xVal>
          <c:yVal>
            <c:numRef>
              <c:f>MUCKING!$C$33:$C$37</c:f>
              <c:numCache>
                <c:ptCount val="5"/>
                <c:pt idx="0">
                  <c:v>24.2</c:v>
                </c:pt>
                <c:pt idx="1">
                  <c:v>20</c:v>
                </c:pt>
                <c:pt idx="2">
                  <c:v>16.3</c:v>
                </c:pt>
                <c:pt idx="3">
                  <c:v>13.3</c:v>
                </c:pt>
                <c:pt idx="4">
                  <c:v>11.2</c:v>
                </c:pt>
              </c:numCache>
            </c:numRef>
          </c:yVal>
          <c:smooth val="1"/>
        </c:ser>
        <c:axId val="56541602"/>
        <c:axId val="39112371"/>
      </c:scatterChart>
      <c:val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112371"/>
        <c:crosses val="autoZero"/>
        <c:crossBetween val="midCat"/>
        <c:dispUnits/>
        <c:majorUnit val="20"/>
        <c:minorUnit val="10"/>
      </c:val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PERFORMANCE OF HOIST</a:t>
            </a:r>
          </a:p>
        </c:rich>
      </c:tx>
      <c:layout>
        <c:manualLayout>
          <c:xMode val="factor"/>
          <c:yMode val="factor"/>
          <c:x val="-0.014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05"/>
          <c:w val="0.90925"/>
          <c:h val="0.64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MUCKING!$A$14:$A$25</c:f>
              <c:numCache>
                <c:ptCount val="12"/>
                <c:pt idx="0">
                  <c:v>12.195121951219512</c:v>
                </c:pt>
                <c:pt idx="1">
                  <c:v>18.29268292682927</c:v>
                </c:pt>
                <c:pt idx="2">
                  <c:v>24.390243902439025</c:v>
                </c:pt>
                <c:pt idx="3">
                  <c:v>30.48780487804878</c:v>
                </c:pt>
                <c:pt idx="4">
                  <c:v>36.58536585365854</c:v>
                </c:pt>
                <c:pt idx="5">
                  <c:v>42.6829268292683</c:v>
                </c:pt>
                <c:pt idx="6">
                  <c:v>48.78048780487805</c:v>
                </c:pt>
                <c:pt idx="7">
                  <c:v>54.87804878048781</c:v>
                </c:pt>
                <c:pt idx="8">
                  <c:v>60.97560975609756</c:v>
                </c:pt>
                <c:pt idx="9">
                  <c:v>67.07317073170732</c:v>
                </c:pt>
                <c:pt idx="10">
                  <c:v>73.17073170731707</c:v>
                </c:pt>
                <c:pt idx="11">
                  <c:v>91.46341463414635</c:v>
                </c:pt>
              </c:numCache>
            </c:numRef>
          </c:xVal>
          <c:yVal>
            <c:numRef>
              <c:f>MUCKING!$C$14:$C$25</c:f>
              <c:numCache>
                <c:ptCount val="12"/>
                <c:pt idx="0">
                  <c:v>32</c:v>
                </c:pt>
                <c:pt idx="1">
                  <c:v>25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1"/>
        </c:ser>
        <c:axId val="16467020"/>
        <c:axId val="13985453"/>
      </c:scatterChart>
      <c:val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985453"/>
        <c:crosses val="autoZero"/>
        <c:crossBetween val="midCat"/>
        <c:dispUnits/>
        <c:majorUnit val="20"/>
        <c:minorUnit val="10"/>
      </c:valAx>
      <c:valAx>
        <c:axId val="139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PERFORMANCE OF ELECTRIC SCOOP 
EJC 60E</a:t>
            </a:r>
          </a:p>
        </c:rich>
      </c:tx>
      <c:layout>
        <c:manualLayout>
          <c:xMode val="factor"/>
          <c:yMode val="factor"/>
          <c:x val="0.00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6"/>
          <c:w val="0.92775"/>
          <c:h val="0.730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MUCKING!$A$48:$A$55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MUCKING!$C$48:$C$55</c:f>
              <c:numCache>
                <c:ptCount val="8"/>
                <c:pt idx="0">
                  <c:v>25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</c:numCache>
            </c:numRef>
          </c:yVal>
          <c:smooth val="1"/>
        </c:ser>
        <c:axId val="58760214"/>
        <c:axId val="59079879"/>
      </c:scatterChart>
      <c:val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079879"/>
        <c:crosses val="autoZero"/>
        <c:crossBetween val="midCat"/>
        <c:dispUnits/>
        <c:minorUnit val="25"/>
      </c:valAx>
      <c:valAx>
        <c:axId val="59079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60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MUCKING!$A$62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875"/>
          <c:y val="0.0825"/>
          <c:w val="0.9035"/>
          <c:h val="0.79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MUCKING!$A$64:$A$71</c:f>
              <c:numCache>
                <c:ptCount val="8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</c:numCache>
            </c:numRef>
          </c:xVal>
          <c:yVal>
            <c:numRef>
              <c:f>MUCKING!$C$64:$C$71</c:f>
              <c:numCache>
                <c:ptCount val="8"/>
                <c:pt idx="0">
                  <c:v>26</c:v>
                </c:pt>
                <c:pt idx="1">
                  <c:v>23</c:v>
                </c:pt>
                <c:pt idx="2">
                  <c:v>21</c:v>
                </c:pt>
                <c:pt idx="3">
                  <c:v>19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</c:numCache>
            </c:numRef>
          </c:yVal>
          <c:smooth val="1"/>
        </c:ser>
        <c:axId val="61956864"/>
        <c:axId val="20740865"/>
      </c:scatterChart>
      <c:val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740865"/>
        <c:crosses val="autoZero"/>
        <c:crossBetween val="midCat"/>
        <c:dispUnits/>
        <c:majorUnit val="50"/>
        <c:minorUnit val="25"/>
      </c:valAx>
      <c:valAx>
        <c:axId val="2074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m³/hour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56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121</xdr:row>
      <xdr:rowOff>152400</xdr:rowOff>
    </xdr:from>
    <xdr:to>
      <xdr:col>9</xdr:col>
      <xdr:colOff>161925</xdr:colOff>
      <xdr:row>124</xdr:row>
      <xdr:rowOff>104775</xdr:rowOff>
    </xdr:to>
    <xdr:sp>
      <xdr:nvSpPr>
        <xdr:cNvPr id="1" name="AutoShape 21"/>
        <xdr:cNvSpPr>
          <a:spLocks/>
        </xdr:cNvSpPr>
      </xdr:nvSpPr>
      <xdr:spPr>
        <a:xfrm>
          <a:off x="7429500" y="24593550"/>
          <a:ext cx="2562225" cy="457200"/>
        </a:xfrm>
        <a:custGeom>
          <a:pathLst>
            <a:path h="48" w="274">
              <a:moveTo>
                <a:pt x="274" y="0"/>
              </a:moveTo>
              <a:cubicBezTo>
                <a:pt x="266" y="1"/>
                <a:pt x="265" y="7"/>
                <a:pt x="227" y="9"/>
              </a:cubicBezTo>
              <a:cubicBezTo>
                <a:pt x="189" y="11"/>
                <a:pt x="83" y="5"/>
                <a:pt x="46" y="11"/>
              </a:cubicBezTo>
              <a:cubicBezTo>
                <a:pt x="9" y="17"/>
                <a:pt x="0" y="36"/>
                <a:pt x="7" y="42"/>
              </a:cubicBezTo>
              <a:cubicBezTo>
                <a:pt x="14" y="48"/>
                <a:pt x="71" y="46"/>
                <a:pt x="88" y="47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113</xdr:row>
      <xdr:rowOff>161925</xdr:rowOff>
    </xdr:from>
    <xdr:to>
      <xdr:col>10</xdr:col>
      <xdr:colOff>200025</xdr:colOff>
      <xdr:row>115</xdr:row>
      <xdr:rowOff>190500</xdr:rowOff>
    </xdr:to>
    <xdr:sp>
      <xdr:nvSpPr>
        <xdr:cNvPr id="2" name="AutoShape 22"/>
        <xdr:cNvSpPr>
          <a:spLocks/>
        </xdr:cNvSpPr>
      </xdr:nvSpPr>
      <xdr:spPr>
        <a:xfrm>
          <a:off x="10372725" y="23164800"/>
          <a:ext cx="400050" cy="361950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82</xdr:row>
      <xdr:rowOff>114300</xdr:rowOff>
    </xdr:from>
    <xdr:to>
      <xdr:col>3</xdr:col>
      <xdr:colOff>809625</xdr:colOff>
      <xdr:row>82</xdr:row>
      <xdr:rowOff>114300</xdr:rowOff>
    </xdr:to>
    <xdr:sp>
      <xdr:nvSpPr>
        <xdr:cNvPr id="3" name="Line 23"/>
        <xdr:cNvSpPr>
          <a:spLocks/>
        </xdr:cNvSpPr>
      </xdr:nvSpPr>
      <xdr:spPr>
        <a:xfrm>
          <a:off x="2924175" y="16306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63</xdr:row>
      <xdr:rowOff>76200</xdr:rowOff>
    </xdr:from>
    <xdr:to>
      <xdr:col>4</xdr:col>
      <xdr:colOff>47625</xdr:colOff>
      <xdr:row>72</xdr:row>
      <xdr:rowOff>28575</xdr:rowOff>
    </xdr:to>
    <xdr:grpSp>
      <xdr:nvGrpSpPr>
        <xdr:cNvPr id="4" name="Group 133"/>
        <xdr:cNvGrpSpPr>
          <a:grpSpLocks/>
        </xdr:cNvGrpSpPr>
      </xdr:nvGrpSpPr>
      <xdr:grpSpPr>
        <a:xfrm>
          <a:off x="219075" y="12763500"/>
          <a:ext cx="4800600" cy="1657350"/>
          <a:chOff x="23" y="1340"/>
          <a:chExt cx="476" cy="174"/>
        </a:xfrm>
        <a:solidFill>
          <a:srgbClr val="FFFFFF"/>
        </a:solidFill>
      </xdr:grpSpPr>
      <xdr:sp>
        <xdr:nvSpPr>
          <xdr:cNvPr id="5" name="Polygon 31"/>
          <xdr:cNvSpPr>
            <a:spLocks/>
          </xdr:cNvSpPr>
        </xdr:nvSpPr>
        <xdr:spPr>
          <a:xfrm>
            <a:off x="49" y="1340"/>
            <a:ext cx="430" cy="174"/>
          </a:xfrm>
          <a:custGeom>
            <a:pathLst>
              <a:path h="142" w="363">
                <a:moveTo>
                  <a:pt x="5" y="140"/>
                </a:moveTo>
                <a:cubicBezTo>
                  <a:pt x="8" y="142"/>
                  <a:pt x="3" y="115"/>
                  <a:pt x="5" y="103"/>
                </a:cubicBezTo>
                <a:cubicBezTo>
                  <a:pt x="6" y="99"/>
                  <a:pt x="7" y="88"/>
                  <a:pt x="7" y="88"/>
                </a:cubicBezTo>
                <a:cubicBezTo>
                  <a:pt x="8" y="83"/>
                  <a:pt x="0" y="73"/>
                  <a:pt x="8" y="70"/>
                </a:cubicBezTo>
                <a:cubicBezTo>
                  <a:pt x="16" y="67"/>
                  <a:pt x="37" y="69"/>
                  <a:pt x="56" y="70"/>
                </a:cubicBezTo>
                <a:cubicBezTo>
                  <a:pt x="61" y="70"/>
                  <a:pt x="113" y="72"/>
                  <a:pt x="121" y="74"/>
                </a:cubicBezTo>
                <a:cubicBezTo>
                  <a:pt x="127" y="74"/>
                  <a:pt x="139" y="77"/>
                  <a:pt x="139" y="77"/>
                </a:cubicBezTo>
                <a:cubicBezTo>
                  <a:pt x="141" y="77"/>
                  <a:pt x="143" y="77"/>
                  <a:pt x="145" y="75"/>
                </a:cubicBezTo>
                <a:cubicBezTo>
                  <a:pt x="149" y="70"/>
                  <a:pt x="137" y="37"/>
                  <a:pt x="134" y="32"/>
                </a:cubicBezTo>
                <a:cubicBezTo>
                  <a:pt x="132" y="19"/>
                  <a:pt x="126" y="11"/>
                  <a:pt x="123" y="0"/>
                </a:cubicBezTo>
                <a:cubicBezTo>
                  <a:pt x="129" y="0"/>
                  <a:pt x="135" y="0"/>
                  <a:pt x="141" y="2"/>
                </a:cubicBezTo>
                <a:cubicBezTo>
                  <a:pt x="152" y="5"/>
                  <a:pt x="157" y="72"/>
                  <a:pt x="167" y="77"/>
                </a:cubicBezTo>
                <a:cubicBezTo>
                  <a:pt x="174" y="74"/>
                  <a:pt x="183" y="74"/>
                  <a:pt x="189" y="72"/>
                </a:cubicBezTo>
                <a:cubicBezTo>
                  <a:pt x="211" y="74"/>
                  <a:pt x="232" y="77"/>
                  <a:pt x="254" y="79"/>
                </a:cubicBezTo>
                <a:cubicBezTo>
                  <a:pt x="277" y="79"/>
                  <a:pt x="299" y="77"/>
                  <a:pt x="321" y="77"/>
                </a:cubicBezTo>
                <a:cubicBezTo>
                  <a:pt x="349" y="77"/>
                  <a:pt x="343" y="68"/>
                  <a:pt x="352" y="84"/>
                </a:cubicBezTo>
                <a:cubicBezTo>
                  <a:pt x="357" y="109"/>
                  <a:pt x="363" y="114"/>
                  <a:pt x="363" y="142"/>
                </a:cubicBezTo>
                <a:lnTo>
                  <a:pt x="6" y="14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4"/>
          <xdr:cNvSpPr>
            <a:spLocks/>
          </xdr:cNvSpPr>
        </xdr:nvSpPr>
        <xdr:spPr>
          <a:xfrm flipH="1">
            <a:off x="219" y="1359"/>
            <a:ext cx="5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5"/>
          <xdr:cNvSpPr>
            <a:spLocks/>
          </xdr:cNvSpPr>
        </xdr:nvSpPr>
        <xdr:spPr>
          <a:xfrm>
            <a:off x="275" y="1349"/>
            <a:ext cx="109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8" name="Line 36"/>
          <xdr:cNvSpPr>
            <a:spLocks/>
          </xdr:cNvSpPr>
        </xdr:nvSpPr>
        <xdr:spPr>
          <a:xfrm>
            <a:off x="54" y="1458"/>
            <a:ext cx="41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7"/>
          <xdr:cNvSpPr>
            <a:spLocks/>
          </xdr:cNvSpPr>
        </xdr:nvSpPr>
        <xdr:spPr>
          <a:xfrm>
            <a:off x="245" y="1473"/>
            <a:ext cx="8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BACKFILL</a:t>
            </a:r>
          </a:p>
        </xdr:txBody>
      </xdr:sp>
      <xdr:sp>
        <xdr:nvSpPr>
          <xdr:cNvPr id="10" name="Oval 38"/>
          <xdr:cNvSpPr>
            <a:spLocks/>
          </xdr:cNvSpPr>
        </xdr:nvSpPr>
        <xdr:spPr>
          <a:xfrm>
            <a:off x="23" y="1394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1" name="Oval 39"/>
          <xdr:cNvSpPr>
            <a:spLocks/>
          </xdr:cNvSpPr>
        </xdr:nvSpPr>
        <xdr:spPr>
          <a:xfrm>
            <a:off x="315" y="1403"/>
            <a:ext cx="32" cy="3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2" name="Oval 40"/>
          <xdr:cNvSpPr>
            <a:spLocks/>
          </xdr:cNvSpPr>
        </xdr:nvSpPr>
        <xdr:spPr>
          <a:xfrm>
            <a:off x="92" y="1458"/>
            <a:ext cx="31" cy="3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3" name="Oval 41"/>
          <xdr:cNvSpPr>
            <a:spLocks/>
          </xdr:cNvSpPr>
        </xdr:nvSpPr>
        <xdr:spPr>
          <a:xfrm>
            <a:off x="100" y="1398"/>
            <a:ext cx="30" cy="3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4" name="Polygon 42"/>
          <xdr:cNvSpPr>
            <a:spLocks/>
          </xdr:cNvSpPr>
        </xdr:nvSpPr>
        <xdr:spPr>
          <a:xfrm>
            <a:off x="54" y="1397"/>
            <a:ext cx="18" cy="32"/>
          </a:xfrm>
          <a:custGeom>
            <a:pathLst>
              <a:path h="25" w="15">
                <a:moveTo>
                  <a:pt x="1" y="25"/>
                </a:moveTo>
                <a:lnTo>
                  <a:pt x="0" y="1"/>
                </a:lnTo>
                <a:lnTo>
                  <a:pt x="13" y="0"/>
                </a:lnTo>
                <a:lnTo>
                  <a:pt x="15" y="2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43"/>
          <xdr:cNvSpPr>
            <a:spLocks/>
          </xdr:cNvSpPr>
        </xdr:nvSpPr>
        <xdr:spPr>
          <a:xfrm>
            <a:off x="446" y="1402"/>
            <a:ext cx="24" cy="34"/>
          </a:xfrm>
          <a:custGeom>
            <a:pathLst>
              <a:path h="27" w="21">
                <a:moveTo>
                  <a:pt x="15" y="27"/>
                </a:moveTo>
                <a:lnTo>
                  <a:pt x="21" y="3"/>
                </a:lnTo>
                <a:lnTo>
                  <a:pt x="7" y="0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44"/>
          <xdr:cNvSpPr>
            <a:spLocks/>
          </xdr:cNvSpPr>
        </xdr:nvSpPr>
        <xdr:spPr>
          <a:xfrm>
            <a:off x="468" y="1407"/>
            <a:ext cx="31" cy="31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7" name="Line 45"/>
          <xdr:cNvSpPr>
            <a:spLocks/>
          </xdr:cNvSpPr>
        </xdr:nvSpPr>
        <xdr:spPr>
          <a:xfrm>
            <a:off x="71" y="1397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 flipH="1" flipV="1">
            <a:off x="232" y="1401"/>
            <a:ext cx="2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47"/>
          <xdr:cNvSpPr>
            <a:spLocks/>
          </xdr:cNvSpPr>
        </xdr:nvSpPr>
        <xdr:spPr>
          <a:xfrm>
            <a:off x="336" y="1474"/>
            <a:ext cx="40" cy="30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0" name="Polygon 48"/>
          <xdr:cNvSpPr>
            <a:spLocks/>
          </xdr:cNvSpPr>
        </xdr:nvSpPr>
        <xdr:spPr>
          <a:xfrm>
            <a:off x="202" y="1454"/>
            <a:ext cx="5" cy="60"/>
          </a:xfrm>
          <a:custGeom>
            <a:pathLst>
              <a:path h="49" w="5">
                <a:moveTo>
                  <a:pt x="0" y="49"/>
                </a:moveTo>
                <a:lnTo>
                  <a:pt x="0" y="0"/>
                </a:lnTo>
                <a:lnTo>
                  <a:pt x="5" y="0"/>
                </a:lnTo>
                <a:lnTo>
                  <a:pt x="5" y="49"/>
                </a:lnTo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49"/>
          <xdr:cNvSpPr>
            <a:spLocks/>
          </xdr:cNvSpPr>
        </xdr:nvSpPr>
        <xdr:spPr>
          <a:xfrm>
            <a:off x="95" y="1491"/>
            <a:ext cx="7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FENCE</a:t>
            </a:r>
          </a:p>
        </xdr:txBody>
      </xdr:sp>
      <xdr:sp>
        <xdr:nvSpPr>
          <xdr:cNvPr id="22" name="Line 50"/>
          <xdr:cNvSpPr>
            <a:spLocks/>
          </xdr:cNvSpPr>
        </xdr:nvSpPr>
        <xdr:spPr>
          <a:xfrm flipV="1">
            <a:off x="167" y="1498"/>
            <a:ext cx="3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9525</xdr:rowOff>
    </xdr:to>
    <xdr:pic>
      <xdr:nvPicPr>
        <xdr:cNvPr id="2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64</xdr:row>
      <xdr:rowOff>19050</xdr:rowOff>
    </xdr:from>
    <xdr:to>
      <xdr:col>0</xdr:col>
      <xdr:colOff>1485900</xdr:colOff>
      <xdr:row>64</xdr:row>
      <xdr:rowOff>209550</xdr:rowOff>
    </xdr:to>
    <xdr:sp>
      <xdr:nvSpPr>
        <xdr:cNvPr id="24" name="Rectangle 162"/>
        <xdr:cNvSpPr>
          <a:spLocks/>
        </xdr:cNvSpPr>
      </xdr:nvSpPr>
      <xdr:spPr>
        <a:xfrm>
          <a:off x="971550" y="128778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3</xdr:col>
      <xdr:colOff>66675</xdr:colOff>
      <xdr:row>64</xdr:row>
      <xdr:rowOff>0</xdr:rowOff>
    </xdr:from>
    <xdr:to>
      <xdr:col>3</xdr:col>
      <xdr:colOff>581025</xdr:colOff>
      <xdr:row>64</xdr:row>
      <xdr:rowOff>190500</xdr:rowOff>
    </xdr:to>
    <xdr:sp>
      <xdr:nvSpPr>
        <xdr:cNvPr id="25" name="Rectangle 163"/>
        <xdr:cNvSpPr>
          <a:spLocks/>
        </xdr:cNvSpPr>
      </xdr:nvSpPr>
      <xdr:spPr>
        <a:xfrm>
          <a:off x="4200525" y="128587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190</xdr:row>
      <xdr:rowOff>95250</xdr:rowOff>
    </xdr:from>
    <xdr:to>
      <xdr:col>10</xdr:col>
      <xdr:colOff>800100</xdr:colOff>
      <xdr:row>191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0248900" y="38128575"/>
          <a:ext cx="742950" cy="276225"/>
        </a:xfrm>
        <a:custGeom>
          <a:pathLst>
            <a:path h="31" w="93">
              <a:moveTo>
                <a:pt x="0" y="1"/>
              </a:moveTo>
              <a:cubicBezTo>
                <a:pt x="31" y="0"/>
                <a:pt x="63" y="0"/>
                <a:pt x="78" y="5"/>
              </a:cubicBezTo>
              <a:cubicBezTo>
                <a:pt x="93" y="10"/>
                <a:pt x="84" y="25"/>
                <a:pt x="88" y="31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123</xdr:row>
      <xdr:rowOff>142875</xdr:rowOff>
    </xdr:from>
    <xdr:to>
      <xdr:col>10</xdr:col>
      <xdr:colOff>104775</xdr:colOff>
      <xdr:row>125</xdr:row>
      <xdr:rowOff>190500</xdr:rowOff>
    </xdr:to>
    <xdr:sp>
      <xdr:nvSpPr>
        <xdr:cNvPr id="2" name="AutoShape 20"/>
        <xdr:cNvSpPr>
          <a:spLocks/>
        </xdr:cNvSpPr>
      </xdr:nvSpPr>
      <xdr:spPr>
        <a:xfrm>
          <a:off x="9896475" y="24812625"/>
          <a:ext cx="400050" cy="504825"/>
        </a:xfrm>
        <a:custGeom>
          <a:pathLst>
            <a:path h="29" w="42">
              <a:moveTo>
                <a:pt x="31" y="0"/>
              </a:moveTo>
              <a:cubicBezTo>
                <a:pt x="15" y="4"/>
                <a:pt x="0" y="9"/>
                <a:pt x="2" y="14"/>
              </a:cubicBezTo>
              <a:cubicBezTo>
                <a:pt x="4" y="19"/>
                <a:pt x="36" y="27"/>
                <a:pt x="42" y="2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67</xdr:row>
      <xdr:rowOff>104775</xdr:rowOff>
    </xdr:from>
    <xdr:to>
      <xdr:col>3</xdr:col>
      <xdr:colOff>333375</xdr:colOff>
      <xdr:row>69</xdr:row>
      <xdr:rowOff>85725</xdr:rowOff>
    </xdr:to>
    <xdr:sp>
      <xdr:nvSpPr>
        <xdr:cNvPr id="3" name="Polygon 91"/>
        <xdr:cNvSpPr>
          <a:spLocks/>
        </xdr:cNvSpPr>
      </xdr:nvSpPr>
      <xdr:spPr>
        <a:xfrm>
          <a:off x="3000375" y="13925550"/>
          <a:ext cx="1057275" cy="371475"/>
        </a:xfrm>
        <a:custGeom>
          <a:pathLst>
            <a:path h="41" w="115">
              <a:moveTo>
                <a:pt x="0" y="0"/>
              </a:moveTo>
              <a:lnTo>
                <a:pt x="103" y="0"/>
              </a:lnTo>
              <a:lnTo>
                <a:pt x="115" y="41"/>
              </a:lnTo>
              <a:lnTo>
                <a:pt x="13" y="41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69</xdr:row>
      <xdr:rowOff>104775</xdr:rowOff>
    </xdr:from>
    <xdr:to>
      <xdr:col>5</xdr:col>
      <xdr:colOff>828675</xdr:colOff>
      <xdr:row>71</xdr:row>
      <xdr:rowOff>57150</xdr:rowOff>
    </xdr:to>
    <xdr:sp>
      <xdr:nvSpPr>
        <xdr:cNvPr id="4" name="Polygon 90"/>
        <xdr:cNvSpPr>
          <a:spLocks/>
        </xdr:cNvSpPr>
      </xdr:nvSpPr>
      <xdr:spPr>
        <a:xfrm>
          <a:off x="4038600" y="14316075"/>
          <a:ext cx="2190750" cy="361950"/>
        </a:xfrm>
        <a:custGeom>
          <a:pathLst>
            <a:path h="40" w="225">
              <a:moveTo>
                <a:pt x="0" y="0"/>
              </a:moveTo>
              <a:lnTo>
                <a:pt x="225" y="2"/>
              </a:lnTo>
              <a:lnTo>
                <a:pt x="222" y="40"/>
              </a:lnTo>
              <a:lnTo>
                <a:pt x="12" y="40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69</xdr:row>
      <xdr:rowOff>114300</xdr:rowOff>
    </xdr:from>
    <xdr:to>
      <xdr:col>2</xdr:col>
      <xdr:colOff>161925</xdr:colOff>
      <xdr:row>71</xdr:row>
      <xdr:rowOff>66675</xdr:rowOff>
    </xdr:to>
    <xdr:sp>
      <xdr:nvSpPr>
        <xdr:cNvPr id="5" name="Polygon 89"/>
        <xdr:cNvSpPr>
          <a:spLocks/>
        </xdr:cNvSpPr>
      </xdr:nvSpPr>
      <xdr:spPr>
        <a:xfrm>
          <a:off x="695325" y="14325600"/>
          <a:ext cx="2200275" cy="361950"/>
        </a:xfrm>
        <a:custGeom>
          <a:pathLst>
            <a:path h="40" w="223">
              <a:moveTo>
                <a:pt x="211" y="0"/>
              </a:moveTo>
              <a:lnTo>
                <a:pt x="0" y="0"/>
              </a:lnTo>
              <a:lnTo>
                <a:pt x="3" y="40"/>
              </a:lnTo>
              <a:lnTo>
                <a:pt x="223" y="39"/>
              </a:lnTo>
              <a:lnTo>
                <a:pt x="211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66</xdr:row>
      <xdr:rowOff>95250</xdr:rowOff>
    </xdr:from>
    <xdr:to>
      <xdr:col>2</xdr:col>
      <xdr:colOff>742950</xdr:colOff>
      <xdr:row>67</xdr:row>
      <xdr:rowOff>28575</xdr:rowOff>
    </xdr:to>
    <xdr:sp>
      <xdr:nvSpPr>
        <xdr:cNvPr id="6" name="Line 71"/>
        <xdr:cNvSpPr>
          <a:spLocks noChangeAspect="1"/>
        </xdr:cNvSpPr>
      </xdr:nvSpPr>
      <xdr:spPr>
        <a:xfrm flipH="1">
          <a:off x="2952750" y="137541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65</xdr:row>
      <xdr:rowOff>161925</xdr:rowOff>
    </xdr:from>
    <xdr:to>
      <xdr:col>4</xdr:col>
      <xdr:colOff>323850</xdr:colOff>
      <xdr:row>67</xdr:row>
      <xdr:rowOff>76200</xdr:rowOff>
    </xdr:to>
    <xdr:sp>
      <xdr:nvSpPr>
        <xdr:cNvPr id="7" name="Rectangle 72"/>
        <xdr:cNvSpPr>
          <a:spLocks noChangeAspect="1"/>
        </xdr:cNvSpPr>
      </xdr:nvSpPr>
      <xdr:spPr>
        <a:xfrm>
          <a:off x="3505200" y="13592175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RAISE</a:t>
          </a:r>
        </a:p>
      </xdr:txBody>
    </xdr:sp>
    <xdr:clientData/>
  </xdr:twoCellAnchor>
  <xdr:twoCellAnchor>
    <xdr:from>
      <xdr:col>0</xdr:col>
      <xdr:colOff>685800</xdr:colOff>
      <xdr:row>73</xdr:row>
      <xdr:rowOff>123825</xdr:rowOff>
    </xdr:from>
    <xdr:to>
      <xdr:col>5</xdr:col>
      <xdr:colOff>809625</xdr:colOff>
      <xdr:row>73</xdr:row>
      <xdr:rowOff>142875</xdr:rowOff>
    </xdr:to>
    <xdr:sp>
      <xdr:nvSpPr>
        <xdr:cNvPr id="8" name="Line 73"/>
        <xdr:cNvSpPr>
          <a:spLocks noChangeAspect="1"/>
        </xdr:cNvSpPr>
      </xdr:nvSpPr>
      <xdr:spPr>
        <a:xfrm>
          <a:off x="685800" y="15068550"/>
          <a:ext cx="5524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75</xdr:row>
      <xdr:rowOff>47625</xdr:rowOff>
    </xdr:from>
    <xdr:to>
      <xdr:col>5</xdr:col>
      <xdr:colOff>742950</xdr:colOff>
      <xdr:row>76</xdr:row>
      <xdr:rowOff>104775</xdr:rowOff>
    </xdr:to>
    <xdr:sp>
      <xdr:nvSpPr>
        <xdr:cNvPr id="9" name="Rectangle 74"/>
        <xdr:cNvSpPr>
          <a:spLocks noChangeAspect="1"/>
        </xdr:cNvSpPr>
      </xdr:nvSpPr>
      <xdr:spPr>
        <a:xfrm>
          <a:off x="5105400" y="15344775"/>
          <a:ext cx="1038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BACKFILL</a:t>
          </a:r>
        </a:p>
      </xdr:txBody>
    </xdr:sp>
    <xdr:clientData/>
  </xdr:twoCellAnchor>
  <xdr:twoCellAnchor>
    <xdr:from>
      <xdr:col>0</xdr:col>
      <xdr:colOff>1190625</xdr:colOff>
      <xdr:row>69</xdr:row>
      <xdr:rowOff>123825</xdr:rowOff>
    </xdr:from>
    <xdr:to>
      <xdr:col>0</xdr:col>
      <xdr:colOff>1571625</xdr:colOff>
      <xdr:row>71</xdr:row>
      <xdr:rowOff>85725</xdr:rowOff>
    </xdr:to>
    <xdr:sp>
      <xdr:nvSpPr>
        <xdr:cNvPr id="10" name="Oval 75"/>
        <xdr:cNvSpPr>
          <a:spLocks noChangeAspect="1"/>
        </xdr:cNvSpPr>
      </xdr:nvSpPr>
      <xdr:spPr>
        <a:xfrm>
          <a:off x="1190625" y="14335125"/>
          <a:ext cx="381000" cy="3714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323850</xdr:colOff>
      <xdr:row>67</xdr:row>
      <xdr:rowOff>85725</xdr:rowOff>
    </xdr:from>
    <xdr:to>
      <xdr:col>2</xdr:col>
      <xdr:colOff>733425</xdr:colOff>
      <xdr:row>69</xdr:row>
      <xdr:rowOff>57150</xdr:rowOff>
    </xdr:to>
    <xdr:sp>
      <xdr:nvSpPr>
        <xdr:cNvPr id="11" name="Oval 76"/>
        <xdr:cNvSpPr>
          <a:spLocks noChangeAspect="1"/>
        </xdr:cNvSpPr>
      </xdr:nvSpPr>
      <xdr:spPr>
        <a:xfrm>
          <a:off x="3057525" y="13906500"/>
          <a:ext cx="40957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771525</xdr:colOff>
      <xdr:row>69</xdr:row>
      <xdr:rowOff>76200</xdr:rowOff>
    </xdr:from>
    <xdr:to>
      <xdr:col>4</xdr:col>
      <xdr:colOff>323850</xdr:colOff>
      <xdr:row>71</xdr:row>
      <xdr:rowOff>38100</xdr:rowOff>
    </xdr:to>
    <xdr:sp>
      <xdr:nvSpPr>
        <xdr:cNvPr id="12" name="Oval 77"/>
        <xdr:cNvSpPr>
          <a:spLocks noChangeAspect="1"/>
        </xdr:cNvSpPr>
      </xdr:nvSpPr>
      <xdr:spPr>
        <a:xfrm>
          <a:off x="4495800" y="14287500"/>
          <a:ext cx="400050" cy="3714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1552575</xdr:colOff>
      <xdr:row>71</xdr:row>
      <xdr:rowOff>114300</xdr:rowOff>
    </xdr:from>
    <xdr:to>
      <xdr:col>1</xdr:col>
      <xdr:colOff>152400</xdr:colOff>
      <xdr:row>73</xdr:row>
      <xdr:rowOff>133350</xdr:rowOff>
    </xdr:to>
    <xdr:sp>
      <xdr:nvSpPr>
        <xdr:cNvPr id="13" name="Oval 78"/>
        <xdr:cNvSpPr>
          <a:spLocks noChangeAspect="1"/>
        </xdr:cNvSpPr>
      </xdr:nvSpPr>
      <xdr:spPr>
        <a:xfrm>
          <a:off x="1552575" y="14735175"/>
          <a:ext cx="352425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561975</xdr:colOff>
      <xdr:row>74</xdr:row>
      <xdr:rowOff>152400</xdr:rowOff>
    </xdr:from>
    <xdr:to>
      <xdr:col>4</xdr:col>
      <xdr:colOff>371475</xdr:colOff>
      <xdr:row>76</xdr:row>
      <xdr:rowOff>152400</xdr:rowOff>
    </xdr:to>
    <xdr:sp>
      <xdr:nvSpPr>
        <xdr:cNvPr id="14" name="Oval 84"/>
        <xdr:cNvSpPr>
          <a:spLocks noChangeAspect="1"/>
        </xdr:cNvSpPr>
      </xdr:nvSpPr>
      <xdr:spPr>
        <a:xfrm>
          <a:off x="4286250" y="15287625"/>
          <a:ext cx="657225" cy="3238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&amp; 6
</a:t>
          </a:r>
        </a:p>
      </xdr:txBody>
    </xdr:sp>
    <xdr:clientData/>
  </xdr:twoCellAnchor>
  <xdr:twoCellAnchor>
    <xdr:from>
      <xdr:col>2</xdr:col>
      <xdr:colOff>180975</xdr:colOff>
      <xdr:row>70</xdr:row>
      <xdr:rowOff>76200</xdr:rowOff>
    </xdr:from>
    <xdr:to>
      <xdr:col>2</xdr:col>
      <xdr:colOff>228600</xdr:colOff>
      <xdr:row>73</xdr:row>
      <xdr:rowOff>133350</xdr:rowOff>
    </xdr:to>
    <xdr:sp>
      <xdr:nvSpPr>
        <xdr:cNvPr id="15" name="Polygon 85"/>
        <xdr:cNvSpPr>
          <a:spLocks noChangeAspect="1"/>
        </xdr:cNvSpPr>
      </xdr:nvSpPr>
      <xdr:spPr>
        <a:xfrm>
          <a:off x="2914650" y="14516100"/>
          <a:ext cx="47625" cy="561975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76</xdr:row>
      <xdr:rowOff>47625</xdr:rowOff>
    </xdr:from>
    <xdr:to>
      <xdr:col>1</xdr:col>
      <xdr:colOff>400050</xdr:colOff>
      <xdr:row>77</xdr:row>
      <xdr:rowOff>95250</xdr:rowOff>
    </xdr:to>
    <xdr:sp>
      <xdr:nvSpPr>
        <xdr:cNvPr id="16" name="Rectangle 86"/>
        <xdr:cNvSpPr>
          <a:spLocks noChangeAspect="1"/>
        </xdr:cNvSpPr>
      </xdr:nvSpPr>
      <xdr:spPr>
        <a:xfrm>
          <a:off x="1200150" y="15506700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FENCE</a:t>
          </a:r>
        </a:p>
      </xdr:txBody>
    </xdr:sp>
    <xdr:clientData/>
  </xdr:twoCellAnchor>
  <xdr:twoCellAnchor>
    <xdr:from>
      <xdr:col>0</xdr:col>
      <xdr:colOff>695325</xdr:colOff>
      <xdr:row>65</xdr:row>
      <xdr:rowOff>28575</xdr:rowOff>
    </xdr:from>
    <xdr:to>
      <xdr:col>5</xdr:col>
      <xdr:colOff>828675</xdr:colOff>
      <xdr:row>78</xdr:row>
      <xdr:rowOff>28575</xdr:rowOff>
    </xdr:to>
    <xdr:sp>
      <xdr:nvSpPr>
        <xdr:cNvPr id="17" name="Polygon 88"/>
        <xdr:cNvSpPr>
          <a:spLocks/>
        </xdr:cNvSpPr>
      </xdr:nvSpPr>
      <xdr:spPr>
        <a:xfrm>
          <a:off x="695325" y="13458825"/>
          <a:ext cx="5534025" cy="2352675"/>
        </a:xfrm>
        <a:custGeom>
          <a:pathLst>
            <a:path h="242" w="567">
              <a:moveTo>
                <a:pt x="2" y="242"/>
              </a:moveTo>
              <a:lnTo>
                <a:pt x="3" y="125"/>
              </a:lnTo>
              <a:lnTo>
                <a:pt x="226" y="125"/>
              </a:lnTo>
              <a:lnTo>
                <a:pt x="186" y="0"/>
              </a:lnTo>
              <a:lnTo>
                <a:pt x="220" y="2"/>
              </a:lnTo>
              <a:lnTo>
                <a:pt x="249" y="86"/>
              </a:lnTo>
              <a:lnTo>
                <a:pt x="341" y="86"/>
              </a:lnTo>
              <a:lnTo>
                <a:pt x="353" y="125"/>
              </a:lnTo>
              <a:lnTo>
                <a:pt x="565" y="123"/>
              </a:lnTo>
              <a:lnTo>
                <a:pt x="567" y="239"/>
              </a:lnTo>
              <a:lnTo>
                <a:pt x="0" y="2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73</xdr:row>
      <xdr:rowOff>152400</xdr:rowOff>
    </xdr:from>
    <xdr:to>
      <xdr:col>2</xdr:col>
      <xdr:colOff>704850</xdr:colOff>
      <xdr:row>78</xdr:row>
      <xdr:rowOff>0</xdr:rowOff>
    </xdr:to>
    <xdr:sp>
      <xdr:nvSpPr>
        <xdr:cNvPr id="18" name="Rectangle 92"/>
        <xdr:cNvSpPr>
          <a:spLocks/>
        </xdr:cNvSpPr>
      </xdr:nvSpPr>
      <xdr:spPr>
        <a:xfrm rot="20998754">
          <a:off x="3343275" y="15097125"/>
          <a:ext cx="95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73</xdr:row>
      <xdr:rowOff>142875</xdr:rowOff>
    </xdr:from>
    <xdr:to>
      <xdr:col>3</xdr:col>
      <xdr:colOff>171450</xdr:colOff>
      <xdr:row>77</xdr:row>
      <xdr:rowOff>152400</xdr:rowOff>
    </xdr:to>
    <xdr:sp>
      <xdr:nvSpPr>
        <xdr:cNvPr id="19" name="Rectangle 93"/>
        <xdr:cNvSpPr>
          <a:spLocks/>
        </xdr:cNvSpPr>
      </xdr:nvSpPr>
      <xdr:spPr>
        <a:xfrm rot="20998754">
          <a:off x="3800475" y="15087600"/>
          <a:ext cx="95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70</xdr:row>
      <xdr:rowOff>76200</xdr:rowOff>
    </xdr:from>
    <xdr:to>
      <xdr:col>2</xdr:col>
      <xdr:colOff>590550</xdr:colOff>
      <xdr:row>73</xdr:row>
      <xdr:rowOff>161925</xdr:rowOff>
    </xdr:to>
    <xdr:sp>
      <xdr:nvSpPr>
        <xdr:cNvPr id="20" name="Rectangle 94"/>
        <xdr:cNvSpPr>
          <a:spLocks/>
        </xdr:cNvSpPr>
      </xdr:nvSpPr>
      <xdr:spPr>
        <a:xfrm rot="20998754">
          <a:off x="3238500" y="14516100"/>
          <a:ext cx="85725" cy="590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70</xdr:row>
      <xdr:rowOff>76200</xdr:rowOff>
    </xdr:from>
    <xdr:to>
      <xdr:col>3</xdr:col>
      <xdr:colOff>57150</xdr:colOff>
      <xdr:row>73</xdr:row>
      <xdr:rowOff>152400</xdr:rowOff>
    </xdr:to>
    <xdr:sp>
      <xdr:nvSpPr>
        <xdr:cNvPr id="21" name="Rectangle 95"/>
        <xdr:cNvSpPr>
          <a:spLocks/>
        </xdr:cNvSpPr>
      </xdr:nvSpPr>
      <xdr:spPr>
        <a:xfrm rot="20998754">
          <a:off x="3686175" y="14516100"/>
          <a:ext cx="95250" cy="581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73</xdr:row>
      <xdr:rowOff>57150</xdr:rowOff>
    </xdr:from>
    <xdr:to>
      <xdr:col>3</xdr:col>
      <xdr:colOff>571500</xdr:colOff>
      <xdr:row>75</xdr:row>
      <xdr:rowOff>114300</xdr:rowOff>
    </xdr:to>
    <xdr:sp>
      <xdr:nvSpPr>
        <xdr:cNvPr id="22" name="Line 97"/>
        <xdr:cNvSpPr>
          <a:spLocks/>
        </xdr:cNvSpPr>
      </xdr:nvSpPr>
      <xdr:spPr>
        <a:xfrm flipH="1" flipV="1">
          <a:off x="3829050" y="15001875"/>
          <a:ext cx="466725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73</xdr:row>
      <xdr:rowOff>66675</xdr:rowOff>
    </xdr:from>
    <xdr:to>
      <xdr:col>3</xdr:col>
      <xdr:colOff>571500</xdr:colOff>
      <xdr:row>75</xdr:row>
      <xdr:rowOff>142875</xdr:rowOff>
    </xdr:to>
    <xdr:sp>
      <xdr:nvSpPr>
        <xdr:cNvPr id="23" name="Line 98"/>
        <xdr:cNvSpPr>
          <a:spLocks/>
        </xdr:cNvSpPr>
      </xdr:nvSpPr>
      <xdr:spPr>
        <a:xfrm flipH="1" flipV="1">
          <a:off x="3371850" y="15011400"/>
          <a:ext cx="923925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70</xdr:row>
      <xdr:rowOff>85725</xdr:rowOff>
    </xdr:from>
    <xdr:to>
      <xdr:col>5</xdr:col>
      <xdr:colOff>809625</xdr:colOff>
      <xdr:row>70</xdr:row>
      <xdr:rowOff>104775</xdr:rowOff>
    </xdr:to>
    <xdr:sp>
      <xdr:nvSpPr>
        <xdr:cNvPr id="24" name="Line 99"/>
        <xdr:cNvSpPr>
          <a:spLocks noChangeAspect="1"/>
        </xdr:cNvSpPr>
      </xdr:nvSpPr>
      <xdr:spPr>
        <a:xfrm>
          <a:off x="685800" y="14525625"/>
          <a:ext cx="5524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73</xdr:row>
      <xdr:rowOff>38100</xdr:rowOff>
    </xdr:from>
    <xdr:to>
      <xdr:col>2</xdr:col>
      <xdr:colOff>161925</xdr:colOff>
      <xdr:row>77</xdr:row>
      <xdr:rowOff>0</xdr:rowOff>
    </xdr:to>
    <xdr:sp>
      <xdr:nvSpPr>
        <xdr:cNvPr id="25" name="Line 100"/>
        <xdr:cNvSpPr>
          <a:spLocks/>
        </xdr:cNvSpPr>
      </xdr:nvSpPr>
      <xdr:spPr>
        <a:xfrm flipV="1">
          <a:off x="2143125" y="14982825"/>
          <a:ext cx="752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72</xdr:row>
      <xdr:rowOff>104775</xdr:rowOff>
    </xdr:from>
    <xdr:to>
      <xdr:col>2</xdr:col>
      <xdr:colOff>180975</xdr:colOff>
      <xdr:row>72</xdr:row>
      <xdr:rowOff>104775</xdr:rowOff>
    </xdr:to>
    <xdr:sp>
      <xdr:nvSpPr>
        <xdr:cNvPr id="26" name="Line 101"/>
        <xdr:cNvSpPr>
          <a:spLocks/>
        </xdr:cNvSpPr>
      </xdr:nvSpPr>
      <xdr:spPr>
        <a:xfrm>
          <a:off x="1885950" y="14887575"/>
          <a:ext cx="1028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65</xdr:row>
      <xdr:rowOff>76200</xdr:rowOff>
    </xdr:from>
    <xdr:to>
      <xdr:col>0</xdr:col>
      <xdr:colOff>1485900</xdr:colOff>
      <xdr:row>66</xdr:row>
      <xdr:rowOff>38100</xdr:rowOff>
    </xdr:to>
    <xdr:sp>
      <xdr:nvSpPr>
        <xdr:cNvPr id="27" name="Rectangle 116"/>
        <xdr:cNvSpPr>
          <a:spLocks/>
        </xdr:cNvSpPr>
      </xdr:nvSpPr>
      <xdr:spPr>
        <a:xfrm>
          <a:off x="971550" y="135064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4</xdr:col>
      <xdr:colOff>447675</xdr:colOff>
      <xdr:row>65</xdr:row>
      <xdr:rowOff>85725</xdr:rowOff>
    </xdr:from>
    <xdr:to>
      <xdr:col>5</xdr:col>
      <xdr:colOff>133350</xdr:colOff>
      <xdr:row>66</xdr:row>
      <xdr:rowOff>47625</xdr:rowOff>
    </xdr:to>
    <xdr:sp>
      <xdr:nvSpPr>
        <xdr:cNvPr id="28" name="Rectangle 117"/>
        <xdr:cNvSpPr>
          <a:spLocks/>
        </xdr:cNvSpPr>
      </xdr:nvSpPr>
      <xdr:spPr>
        <a:xfrm>
          <a:off x="5019675" y="135159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</cdr:y>
    </cdr:from>
    <cdr:to>
      <cdr:x>0.3305</cdr:x>
      <cdr:y>0.9965</cdr:y>
    </cdr:to>
    <cdr:sp>
      <cdr:nvSpPr>
        <cdr:cNvPr id="1" name="Rectangle 1"/>
        <cdr:cNvSpPr>
          <a:spLocks/>
        </cdr:cNvSpPr>
      </cdr:nvSpPr>
      <cdr:spPr>
        <a:xfrm>
          <a:off x="0" y="1905000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Atlas Copco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0.8135</cdr:y>
    </cdr:from>
    <cdr:to>
      <cdr:x>0.486</cdr:x>
      <cdr:y>0.9765</cdr:y>
    </cdr:to>
    <cdr:sp>
      <cdr:nvSpPr>
        <cdr:cNvPr id="1" name="Rectangle 1"/>
        <cdr:cNvSpPr>
          <a:spLocks/>
        </cdr:cNvSpPr>
      </cdr:nvSpPr>
      <cdr:spPr>
        <a:xfrm>
          <a:off x="0" y="2038350"/>
          <a:ext cx="1752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Ingersoll-Rand 18.5hp
compresserd air (90psi)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</cdr:y>
    </cdr:from>
    <cdr:to>
      <cdr:x>0.25675</cdr:x>
      <cdr:y>0.9985</cdr:y>
    </cdr:to>
    <cdr:sp>
      <cdr:nvSpPr>
        <cdr:cNvPr id="1" name="Rectangle 1"/>
        <cdr:cNvSpPr>
          <a:spLocks/>
        </cdr:cNvSpPr>
      </cdr:nvSpPr>
      <cdr:spPr>
        <a:xfrm>
          <a:off x="0" y="1790700"/>
          <a:ext cx="923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0.866</cdr:y>
    </cdr:from>
    <cdr:to>
      <cdr:x>0.2655</cdr:x>
      <cdr:y>0.96925</cdr:y>
    </cdr:to>
    <cdr:sp>
      <cdr:nvSpPr>
        <cdr:cNvPr id="1" name="Rectangle 1"/>
        <cdr:cNvSpPr>
          <a:spLocks/>
        </cdr:cNvSpPr>
      </cdr:nvSpPr>
      <cdr:spPr>
        <a:xfrm>
          <a:off x="38100" y="2000250"/>
          <a:ext cx="914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29</xdr:row>
      <xdr:rowOff>47625</xdr:rowOff>
    </xdr:from>
    <xdr:to>
      <xdr:col>9</xdr:col>
      <xdr:colOff>638175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476750" y="6048375"/>
        <a:ext cx="35718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11</xdr:row>
      <xdr:rowOff>0</xdr:rowOff>
    </xdr:from>
    <xdr:to>
      <xdr:col>9</xdr:col>
      <xdr:colOff>714375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4514850" y="3028950"/>
        <a:ext cx="36099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44</xdr:row>
      <xdr:rowOff>85725</xdr:rowOff>
    </xdr:from>
    <xdr:to>
      <xdr:col>9</xdr:col>
      <xdr:colOff>695325</xdr:colOff>
      <xdr:row>57</xdr:row>
      <xdr:rowOff>0</xdr:rowOff>
    </xdr:to>
    <xdr:graphicFrame>
      <xdr:nvGraphicFramePr>
        <xdr:cNvPr id="3" name="Chart 4"/>
        <xdr:cNvGraphicFramePr/>
      </xdr:nvGraphicFramePr>
      <xdr:xfrm>
        <a:off x="4505325" y="8562975"/>
        <a:ext cx="36004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60</xdr:row>
      <xdr:rowOff>28575</xdr:rowOff>
    </xdr:from>
    <xdr:to>
      <xdr:col>9</xdr:col>
      <xdr:colOff>666750</xdr:colOff>
      <xdr:row>74</xdr:row>
      <xdr:rowOff>47625</xdr:rowOff>
    </xdr:to>
    <xdr:graphicFrame>
      <xdr:nvGraphicFramePr>
        <xdr:cNvPr id="4" name="Chart 6"/>
        <xdr:cNvGraphicFramePr/>
      </xdr:nvGraphicFramePr>
      <xdr:xfrm>
        <a:off x="4467225" y="11144250"/>
        <a:ext cx="36099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</xdr:row>
      <xdr:rowOff>152400</xdr:rowOff>
    </xdr:from>
    <xdr:to>
      <xdr:col>4</xdr:col>
      <xdr:colOff>695325</xdr:colOff>
      <xdr:row>21</xdr:row>
      <xdr:rowOff>47625</xdr:rowOff>
    </xdr:to>
    <xdr:sp>
      <xdr:nvSpPr>
        <xdr:cNvPr id="1" name="Polygon 1"/>
        <xdr:cNvSpPr>
          <a:spLocks/>
        </xdr:cNvSpPr>
      </xdr:nvSpPr>
      <xdr:spPr>
        <a:xfrm>
          <a:off x="285750" y="2238375"/>
          <a:ext cx="3457575" cy="1352550"/>
        </a:xfrm>
        <a:custGeom>
          <a:pathLst>
            <a:path h="142" w="363">
              <a:moveTo>
                <a:pt x="5" y="140"/>
              </a:moveTo>
              <a:cubicBezTo>
                <a:pt x="8" y="142"/>
                <a:pt x="3" y="115"/>
                <a:pt x="5" y="103"/>
              </a:cubicBezTo>
              <a:cubicBezTo>
                <a:pt x="6" y="99"/>
                <a:pt x="7" y="88"/>
                <a:pt x="7" y="88"/>
              </a:cubicBezTo>
              <a:cubicBezTo>
                <a:pt x="8" y="83"/>
                <a:pt x="0" y="73"/>
                <a:pt x="8" y="70"/>
              </a:cubicBezTo>
              <a:cubicBezTo>
                <a:pt x="16" y="67"/>
                <a:pt x="37" y="69"/>
                <a:pt x="56" y="70"/>
              </a:cubicBezTo>
              <a:cubicBezTo>
                <a:pt x="61" y="70"/>
                <a:pt x="113" y="72"/>
                <a:pt x="121" y="74"/>
              </a:cubicBezTo>
              <a:cubicBezTo>
                <a:pt x="127" y="74"/>
                <a:pt x="139" y="77"/>
                <a:pt x="139" y="77"/>
              </a:cubicBezTo>
              <a:cubicBezTo>
                <a:pt x="141" y="77"/>
                <a:pt x="143" y="77"/>
                <a:pt x="145" y="75"/>
              </a:cubicBezTo>
              <a:cubicBezTo>
                <a:pt x="149" y="70"/>
                <a:pt x="137" y="37"/>
                <a:pt x="134" y="32"/>
              </a:cubicBezTo>
              <a:cubicBezTo>
                <a:pt x="132" y="19"/>
                <a:pt x="126" y="11"/>
                <a:pt x="123" y="0"/>
              </a:cubicBezTo>
              <a:cubicBezTo>
                <a:pt x="129" y="0"/>
                <a:pt x="135" y="0"/>
                <a:pt x="141" y="2"/>
              </a:cubicBezTo>
              <a:cubicBezTo>
                <a:pt x="152" y="5"/>
                <a:pt x="157" y="72"/>
                <a:pt x="167" y="77"/>
              </a:cubicBezTo>
              <a:cubicBezTo>
                <a:pt x="174" y="74"/>
                <a:pt x="183" y="74"/>
                <a:pt x="189" y="72"/>
              </a:cubicBezTo>
              <a:cubicBezTo>
                <a:pt x="211" y="74"/>
                <a:pt x="232" y="77"/>
                <a:pt x="254" y="79"/>
              </a:cubicBezTo>
              <a:cubicBezTo>
                <a:pt x="277" y="79"/>
                <a:pt x="299" y="77"/>
                <a:pt x="321" y="77"/>
              </a:cubicBezTo>
              <a:cubicBezTo>
                <a:pt x="349" y="77"/>
                <a:pt x="343" y="68"/>
                <a:pt x="352" y="84"/>
              </a:cubicBezTo>
              <a:cubicBezTo>
                <a:pt x="357" y="109"/>
                <a:pt x="363" y="114"/>
                <a:pt x="363" y="142"/>
              </a:cubicBezTo>
              <a:lnTo>
                <a:pt x="6" y="1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66675</xdr:rowOff>
    </xdr:from>
    <xdr:to>
      <xdr:col>1</xdr:col>
      <xdr:colOff>133350</xdr:colOff>
      <xdr:row>14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381000" y="231457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4</xdr:col>
      <xdr:colOff>228600</xdr:colOff>
      <xdr:row>13</xdr:row>
      <xdr:rowOff>76200</xdr:rowOff>
    </xdr:from>
    <xdr:to>
      <xdr:col>4</xdr:col>
      <xdr:colOff>742950</xdr:colOff>
      <xdr:row>14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3276600" y="23241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  <xdr:twoCellAnchor>
    <xdr:from>
      <xdr:col>2</xdr:col>
      <xdr:colOff>161925</xdr:colOff>
      <xdr:row>13</xdr:row>
      <xdr:rowOff>142875</xdr:rowOff>
    </xdr:from>
    <xdr:to>
      <xdr:col>2</xdr:col>
      <xdr:colOff>600075</xdr:colOff>
      <xdr:row>14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1685925" y="239077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13</xdr:row>
      <xdr:rowOff>57150</xdr:rowOff>
    </xdr:from>
    <xdr:to>
      <xdr:col>3</xdr:col>
      <xdr:colOff>542925</xdr:colOff>
      <xdr:row>14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2057400" y="2305050"/>
          <a:ext cx="771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RAISE</a:t>
          </a:r>
        </a:p>
      </xdr:txBody>
    </xdr:sp>
    <xdr:clientData/>
  </xdr:twoCellAnchor>
  <xdr:twoCellAnchor>
    <xdr:from>
      <xdr:col>0</xdr:col>
      <xdr:colOff>323850</xdr:colOff>
      <xdr:row>18</xdr:row>
      <xdr:rowOff>95250</xdr:rowOff>
    </xdr:from>
    <xdr:to>
      <xdr:col>4</xdr:col>
      <xdr:colOff>619125</xdr:colOff>
      <xdr:row>18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23850" y="3152775"/>
          <a:ext cx="3343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47625</xdr:rowOff>
    </xdr:from>
    <xdr:to>
      <xdr:col>2</xdr:col>
      <xdr:colOff>600075</xdr:colOff>
      <xdr:row>20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1381125" y="3267075"/>
          <a:ext cx="742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BACKFILL</a:t>
          </a:r>
        </a:p>
      </xdr:txBody>
    </xdr:sp>
    <xdr:clientData/>
  </xdr:twoCellAnchor>
  <xdr:twoCellAnchor>
    <xdr:from>
      <xdr:col>2</xdr:col>
      <xdr:colOff>209550</xdr:colOff>
      <xdr:row>15</xdr:row>
      <xdr:rowOff>152400</xdr:rowOff>
    </xdr:from>
    <xdr:to>
      <xdr:col>3</xdr:col>
      <xdr:colOff>66675</xdr:colOff>
      <xdr:row>17</xdr:row>
      <xdr:rowOff>57150</xdr:rowOff>
    </xdr:to>
    <xdr:sp>
      <xdr:nvSpPr>
        <xdr:cNvPr id="8" name="Polygon 8"/>
        <xdr:cNvSpPr>
          <a:spLocks/>
        </xdr:cNvSpPr>
      </xdr:nvSpPr>
      <xdr:spPr>
        <a:xfrm>
          <a:off x="1733550" y="2724150"/>
          <a:ext cx="619125" cy="228600"/>
        </a:xfrm>
        <a:custGeom>
          <a:pathLst>
            <a:path h="21" w="63">
              <a:moveTo>
                <a:pt x="0" y="0"/>
              </a:moveTo>
              <a:cubicBezTo>
                <a:pt x="7" y="1"/>
                <a:pt x="14" y="2"/>
                <a:pt x="20" y="4"/>
              </a:cubicBezTo>
              <a:cubicBezTo>
                <a:pt x="31" y="3"/>
                <a:pt x="44" y="1"/>
                <a:pt x="55" y="3"/>
              </a:cubicBezTo>
              <a:cubicBezTo>
                <a:pt x="58" y="11"/>
                <a:pt x="56" y="7"/>
                <a:pt x="61" y="15"/>
              </a:cubicBezTo>
              <a:cubicBezTo>
                <a:pt x="62" y="17"/>
                <a:pt x="63" y="21"/>
                <a:pt x="63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9525</xdr:rowOff>
    </xdr:from>
    <xdr:to>
      <xdr:col>2</xdr:col>
      <xdr:colOff>447675</xdr:colOff>
      <xdr:row>17</xdr:row>
      <xdr:rowOff>57150</xdr:rowOff>
    </xdr:to>
    <xdr:sp>
      <xdr:nvSpPr>
        <xdr:cNvPr id="9" name="Oval 9"/>
        <xdr:cNvSpPr>
          <a:spLocks/>
        </xdr:cNvSpPr>
      </xdr:nvSpPr>
      <xdr:spPr>
        <a:xfrm>
          <a:off x="1762125" y="274320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219075</xdr:colOff>
      <xdr:row>16</xdr:row>
      <xdr:rowOff>28575</xdr:rowOff>
    </xdr:from>
    <xdr:to>
      <xdr:col>3</xdr:col>
      <xdr:colOff>428625</xdr:colOff>
      <xdr:row>17</xdr:row>
      <xdr:rowOff>76200</xdr:rowOff>
    </xdr:to>
    <xdr:sp>
      <xdr:nvSpPr>
        <xdr:cNvPr id="10" name="Oval 10"/>
        <xdr:cNvSpPr>
          <a:spLocks/>
        </xdr:cNvSpPr>
      </xdr:nvSpPr>
      <xdr:spPr>
        <a:xfrm>
          <a:off x="2505075" y="2762250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295275</xdr:colOff>
      <xdr:row>15</xdr:row>
      <xdr:rowOff>142875</xdr:rowOff>
    </xdr:from>
    <xdr:to>
      <xdr:col>1</xdr:col>
      <xdr:colOff>504825</xdr:colOff>
      <xdr:row>17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1057275" y="2714625"/>
          <a:ext cx="209550" cy="20955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285750</xdr:colOff>
      <xdr:row>15</xdr:row>
      <xdr:rowOff>133350</xdr:rowOff>
    </xdr:from>
    <xdr:to>
      <xdr:col>2</xdr:col>
      <xdr:colOff>104775</xdr:colOff>
      <xdr:row>17</xdr:row>
      <xdr:rowOff>47625</xdr:rowOff>
    </xdr:to>
    <xdr:sp>
      <xdr:nvSpPr>
        <xdr:cNvPr id="12" name="Polygon 12"/>
        <xdr:cNvSpPr>
          <a:spLocks/>
        </xdr:cNvSpPr>
      </xdr:nvSpPr>
      <xdr:spPr>
        <a:xfrm>
          <a:off x="285750" y="2705100"/>
          <a:ext cx="1343025" cy="238125"/>
        </a:xfrm>
        <a:custGeom>
          <a:pathLst>
            <a:path h="24" w="134">
              <a:moveTo>
                <a:pt x="3" y="24"/>
              </a:moveTo>
              <a:cubicBezTo>
                <a:pt x="5" y="16"/>
                <a:pt x="0" y="2"/>
                <a:pt x="10" y="0"/>
              </a:cubicBezTo>
              <a:cubicBezTo>
                <a:pt x="47" y="0"/>
                <a:pt x="83" y="0"/>
                <a:pt x="120" y="1"/>
              </a:cubicBezTo>
              <a:cubicBezTo>
                <a:pt x="125" y="1"/>
                <a:pt x="134" y="2"/>
                <a:pt x="134" y="2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114300</xdr:rowOff>
    </xdr:from>
    <xdr:to>
      <xdr:col>4</xdr:col>
      <xdr:colOff>552450</xdr:colOff>
      <xdr:row>17</xdr:row>
      <xdr:rowOff>76200</xdr:rowOff>
    </xdr:to>
    <xdr:sp>
      <xdr:nvSpPr>
        <xdr:cNvPr id="13" name="Polygon 13"/>
        <xdr:cNvSpPr>
          <a:spLocks/>
        </xdr:cNvSpPr>
      </xdr:nvSpPr>
      <xdr:spPr>
        <a:xfrm>
          <a:off x="2286000" y="2686050"/>
          <a:ext cx="1314450" cy="285750"/>
        </a:xfrm>
        <a:custGeom>
          <a:pathLst>
            <a:path h="30" w="138">
              <a:moveTo>
                <a:pt x="0" y="6"/>
              </a:moveTo>
              <a:cubicBezTo>
                <a:pt x="31" y="12"/>
                <a:pt x="65" y="5"/>
                <a:pt x="96" y="2"/>
              </a:cubicBezTo>
              <a:cubicBezTo>
                <a:pt x="107" y="2"/>
                <a:pt x="119" y="0"/>
                <a:pt x="129" y="6"/>
              </a:cubicBezTo>
              <a:cubicBezTo>
                <a:pt x="134" y="14"/>
                <a:pt x="138" y="20"/>
                <a:pt x="138" y="3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47625</xdr:rowOff>
    </xdr:from>
    <xdr:to>
      <xdr:col>3</xdr:col>
      <xdr:colOff>161925</xdr:colOff>
      <xdr:row>20</xdr:row>
      <xdr:rowOff>104775</xdr:rowOff>
    </xdr:to>
    <xdr:sp>
      <xdr:nvSpPr>
        <xdr:cNvPr id="14" name="Oval 14"/>
        <xdr:cNvSpPr>
          <a:spLocks/>
        </xdr:cNvSpPr>
      </xdr:nvSpPr>
      <xdr:spPr>
        <a:xfrm>
          <a:off x="2181225" y="3267075"/>
          <a:ext cx="266700" cy="2190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104775</xdr:colOff>
      <xdr:row>25</xdr:row>
      <xdr:rowOff>19050</xdr:rowOff>
    </xdr:from>
    <xdr:to>
      <xdr:col>5</xdr:col>
      <xdr:colOff>38100</xdr:colOff>
      <xdr:row>33</xdr:row>
      <xdr:rowOff>76200</xdr:rowOff>
    </xdr:to>
    <xdr:grpSp>
      <xdr:nvGrpSpPr>
        <xdr:cNvPr id="15" name="Group 72"/>
        <xdr:cNvGrpSpPr>
          <a:grpSpLocks/>
        </xdr:cNvGrpSpPr>
      </xdr:nvGrpSpPr>
      <xdr:grpSpPr>
        <a:xfrm>
          <a:off x="104775" y="4286250"/>
          <a:ext cx="3743325" cy="1352550"/>
          <a:chOff x="11" y="450"/>
          <a:chExt cx="393" cy="142"/>
        </a:xfrm>
        <a:solidFill>
          <a:srgbClr val="FFFFFF"/>
        </a:solidFill>
      </xdr:grpSpPr>
      <xdr:sp>
        <xdr:nvSpPr>
          <xdr:cNvPr id="16" name="Polygon 15"/>
          <xdr:cNvSpPr>
            <a:spLocks/>
          </xdr:cNvSpPr>
        </xdr:nvSpPr>
        <xdr:spPr>
          <a:xfrm>
            <a:off x="29" y="450"/>
            <a:ext cx="363" cy="142"/>
          </a:xfrm>
          <a:custGeom>
            <a:pathLst>
              <a:path h="142" w="363">
                <a:moveTo>
                  <a:pt x="5" y="140"/>
                </a:moveTo>
                <a:cubicBezTo>
                  <a:pt x="8" y="142"/>
                  <a:pt x="3" y="115"/>
                  <a:pt x="5" y="103"/>
                </a:cubicBezTo>
                <a:cubicBezTo>
                  <a:pt x="6" y="99"/>
                  <a:pt x="7" y="88"/>
                  <a:pt x="7" y="88"/>
                </a:cubicBezTo>
                <a:cubicBezTo>
                  <a:pt x="8" y="83"/>
                  <a:pt x="0" y="73"/>
                  <a:pt x="8" y="70"/>
                </a:cubicBezTo>
                <a:cubicBezTo>
                  <a:pt x="16" y="67"/>
                  <a:pt x="37" y="69"/>
                  <a:pt x="56" y="70"/>
                </a:cubicBezTo>
                <a:cubicBezTo>
                  <a:pt x="61" y="70"/>
                  <a:pt x="113" y="72"/>
                  <a:pt x="121" y="74"/>
                </a:cubicBezTo>
                <a:cubicBezTo>
                  <a:pt x="127" y="74"/>
                  <a:pt x="139" y="77"/>
                  <a:pt x="139" y="77"/>
                </a:cubicBezTo>
                <a:cubicBezTo>
                  <a:pt x="141" y="77"/>
                  <a:pt x="143" y="77"/>
                  <a:pt x="145" y="75"/>
                </a:cubicBezTo>
                <a:cubicBezTo>
                  <a:pt x="149" y="70"/>
                  <a:pt x="137" y="37"/>
                  <a:pt x="134" y="32"/>
                </a:cubicBezTo>
                <a:cubicBezTo>
                  <a:pt x="132" y="19"/>
                  <a:pt x="126" y="11"/>
                  <a:pt x="123" y="0"/>
                </a:cubicBezTo>
                <a:cubicBezTo>
                  <a:pt x="129" y="0"/>
                  <a:pt x="135" y="0"/>
                  <a:pt x="141" y="2"/>
                </a:cubicBezTo>
                <a:cubicBezTo>
                  <a:pt x="152" y="5"/>
                  <a:pt x="157" y="72"/>
                  <a:pt x="167" y="77"/>
                </a:cubicBezTo>
                <a:cubicBezTo>
                  <a:pt x="174" y="74"/>
                  <a:pt x="183" y="74"/>
                  <a:pt x="189" y="72"/>
                </a:cubicBezTo>
                <a:cubicBezTo>
                  <a:pt x="211" y="74"/>
                  <a:pt x="232" y="77"/>
                  <a:pt x="254" y="79"/>
                </a:cubicBezTo>
                <a:cubicBezTo>
                  <a:pt x="277" y="79"/>
                  <a:pt x="299" y="77"/>
                  <a:pt x="321" y="77"/>
                </a:cubicBezTo>
                <a:cubicBezTo>
                  <a:pt x="349" y="77"/>
                  <a:pt x="343" y="68"/>
                  <a:pt x="352" y="84"/>
                </a:cubicBezTo>
                <a:cubicBezTo>
                  <a:pt x="357" y="109"/>
                  <a:pt x="363" y="114"/>
                  <a:pt x="363" y="142"/>
                </a:cubicBezTo>
                <a:lnTo>
                  <a:pt x="6" y="14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6"/>
          <xdr:cNvSpPr>
            <a:spLocks/>
          </xdr:cNvSpPr>
        </xdr:nvSpPr>
        <xdr:spPr>
          <a:xfrm>
            <a:off x="40" y="464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A</a:t>
            </a:r>
          </a:p>
        </xdr:txBody>
      </xdr:sp>
      <xdr:sp>
        <xdr:nvSpPr>
          <xdr:cNvPr id="18" name="Rectangle 17"/>
          <xdr:cNvSpPr>
            <a:spLocks/>
          </xdr:cNvSpPr>
        </xdr:nvSpPr>
        <xdr:spPr>
          <a:xfrm>
            <a:off x="331" y="455"/>
            <a:ext cx="5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 B</a:t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H="1">
            <a:off x="177" y="466"/>
            <a:ext cx="4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224" y="457"/>
            <a:ext cx="8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RAISE</a:t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34" y="546"/>
            <a:ext cx="35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199" y="558"/>
            <a:ext cx="7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BACKFILL</a:t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11" y="494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259" y="502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66" y="546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6" name="Oval 28"/>
          <xdr:cNvSpPr>
            <a:spLocks/>
          </xdr:cNvSpPr>
        </xdr:nvSpPr>
        <xdr:spPr>
          <a:xfrm>
            <a:off x="73" y="498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7" name="Polygon 29"/>
          <xdr:cNvSpPr>
            <a:spLocks/>
          </xdr:cNvSpPr>
        </xdr:nvSpPr>
        <xdr:spPr>
          <a:xfrm>
            <a:off x="34" y="497"/>
            <a:ext cx="15" cy="25"/>
          </a:xfrm>
          <a:custGeom>
            <a:pathLst>
              <a:path h="25" w="15">
                <a:moveTo>
                  <a:pt x="1" y="25"/>
                </a:moveTo>
                <a:lnTo>
                  <a:pt x="0" y="1"/>
                </a:lnTo>
                <a:lnTo>
                  <a:pt x="13" y="0"/>
                </a:lnTo>
                <a:lnTo>
                  <a:pt x="15" y="2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Polygon 32"/>
          <xdr:cNvSpPr>
            <a:spLocks/>
          </xdr:cNvSpPr>
        </xdr:nvSpPr>
        <xdr:spPr>
          <a:xfrm>
            <a:off x="363" y="501"/>
            <a:ext cx="21" cy="27"/>
          </a:xfrm>
          <a:custGeom>
            <a:pathLst>
              <a:path h="27" w="21">
                <a:moveTo>
                  <a:pt x="15" y="27"/>
                </a:moveTo>
                <a:lnTo>
                  <a:pt x="21" y="3"/>
                </a:lnTo>
                <a:lnTo>
                  <a:pt x="7" y="0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33"/>
          <xdr:cNvSpPr>
            <a:spLocks/>
          </xdr:cNvSpPr>
        </xdr:nvSpPr>
        <xdr:spPr>
          <a:xfrm>
            <a:off x="382" y="505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30" name="Line 34"/>
          <xdr:cNvSpPr>
            <a:spLocks/>
          </xdr:cNvSpPr>
        </xdr:nvSpPr>
        <xdr:spPr>
          <a:xfrm>
            <a:off x="48" y="49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5"/>
          <xdr:cNvSpPr>
            <a:spLocks/>
          </xdr:cNvSpPr>
        </xdr:nvSpPr>
        <xdr:spPr>
          <a:xfrm flipH="1" flipV="1">
            <a:off x="187" y="500"/>
            <a:ext cx="18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6"/>
          <xdr:cNvSpPr>
            <a:spLocks/>
          </xdr:cNvSpPr>
        </xdr:nvSpPr>
        <xdr:spPr>
          <a:xfrm>
            <a:off x="277" y="559"/>
            <a:ext cx="22" cy="2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33" name="Polygon 38"/>
          <xdr:cNvSpPr>
            <a:spLocks/>
          </xdr:cNvSpPr>
        </xdr:nvSpPr>
        <xdr:spPr>
          <a:xfrm>
            <a:off x="161" y="543"/>
            <a:ext cx="5" cy="49"/>
          </a:xfrm>
          <a:custGeom>
            <a:pathLst>
              <a:path h="49" w="5">
                <a:moveTo>
                  <a:pt x="0" y="49"/>
                </a:moveTo>
                <a:lnTo>
                  <a:pt x="0" y="0"/>
                </a:lnTo>
                <a:lnTo>
                  <a:pt x="5" y="0"/>
                </a:lnTo>
                <a:lnTo>
                  <a:pt x="5" y="49"/>
                </a:lnTo>
              </a:path>
            </a:pathLst>
          </a:cu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9"/>
          <xdr:cNvSpPr>
            <a:spLocks/>
          </xdr:cNvSpPr>
        </xdr:nvSpPr>
        <xdr:spPr>
          <a:xfrm>
            <a:off x="69" y="573"/>
            <a:ext cx="6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FENCE</a:t>
            </a:r>
          </a:p>
        </xdr:txBody>
      </xdr:sp>
      <xdr:sp>
        <xdr:nvSpPr>
          <xdr:cNvPr id="35" name="Line 41"/>
          <xdr:cNvSpPr>
            <a:spLocks/>
          </xdr:cNvSpPr>
        </xdr:nvSpPr>
        <xdr:spPr>
          <a:xfrm flipV="1">
            <a:off x="132" y="579"/>
            <a:ext cx="2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3</xdr:row>
      <xdr:rowOff>47625</xdr:rowOff>
    </xdr:from>
    <xdr:to>
      <xdr:col>3</xdr:col>
      <xdr:colOff>514350</xdr:colOff>
      <xdr:row>4</xdr:row>
      <xdr:rowOff>95250</xdr:rowOff>
    </xdr:to>
    <xdr:sp>
      <xdr:nvSpPr>
        <xdr:cNvPr id="36" name="Polygon 43"/>
        <xdr:cNvSpPr>
          <a:spLocks/>
        </xdr:cNvSpPr>
      </xdr:nvSpPr>
      <xdr:spPr>
        <a:xfrm>
          <a:off x="2047875" y="600075"/>
          <a:ext cx="752475" cy="209550"/>
        </a:xfrm>
        <a:custGeom>
          <a:pathLst>
            <a:path h="41" w="115">
              <a:moveTo>
                <a:pt x="0" y="0"/>
              </a:moveTo>
              <a:lnTo>
                <a:pt x="103" y="0"/>
              </a:lnTo>
              <a:lnTo>
                <a:pt x="115" y="41"/>
              </a:lnTo>
              <a:lnTo>
                <a:pt x="13" y="41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5</xdr:col>
      <xdr:colOff>428625</xdr:colOff>
      <xdr:row>5</xdr:row>
      <xdr:rowOff>142875</xdr:rowOff>
    </xdr:to>
    <xdr:sp>
      <xdr:nvSpPr>
        <xdr:cNvPr id="37" name="Polygon 44"/>
        <xdr:cNvSpPr>
          <a:spLocks/>
        </xdr:cNvSpPr>
      </xdr:nvSpPr>
      <xdr:spPr>
        <a:xfrm>
          <a:off x="2752725" y="809625"/>
          <a:ext cx="1485900" cy="209550"/>
        </a:xfrm>
        <a:custGeom>
          <a:pathLst>
            <a:path h="40" w="225">
              <a:moveTo>
                <a:pt x="0" y="0"/>
              </a:moveTo>
              <a:lnTo>
                <a:pt x="225" y="2"/>
              </a:lnTo>
              <a:lnTo>
                <a:pt x="222" y="40"/>
              </a:lnTo>
              <a:lnTo>
                <a:pt x="12" y="40"/>
              </a:lnTo>
              <a:lnTo>
                <a:pt x="0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4</xdr:row>
      <xdr:rowOff>104775</xdr:rowOff>
    </xdr:from>
    <xdr:to>
      <xdr:col>2</xdr:col>
      <xdr:colOff>457200</xdr:colOff>
      <xdr:row>5</xdr:row>
      <xdr:rowOff>142875</xdr:rowOff>
    </xdr:to>
    <xdr:sp>
      <xdr:nvSpPr>
        <xdr:cNvPr id="38" name="Polygon 45"/>
        <xdr:cNvSpPr>
          <a:spLocks/>
        </xdr:cNvSpPr>
      </xdr:nvSpPr>
      <xdr:spPr>
        <a:xfrm>
          <a:off x="495300" y="819150"/>
          <a:ext cx="1485900" cy="200025"/>
        </a:xfrm>
        <a:custGeom>
          <a:pathLst>
            <a:path h="40" w="223">
              <a:moveTo>
                <a:pt x="211" y="0"/>
              </a:moveTo>
              <a:lnTo>
                <a:pt x="0" y="0"/>
              </a:lnTo>
              <a:lnTo>
                <a:pt x="3" y="40"/>
              </a:lnTo>
              <a:lnTo>
                <a:pt x="223" y="39"/>
              </a:lnTo>
              <a:lnTo>
                <a:pt x="211" y="0"/>
              </a:lnTo>
              <a:close/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</xdr:row>
      <xdr:rowOff>114300</xdr:rowOff>
    </xdr:from>
    <xdr:to>
      <xdr:col>3</xdr:col>
      <xdr:colOff>114300</xdr:colOff>
      <xdr:row>3</xdr:row>
      <xdr:rowOff>9525</xdr:rowOff>
    </xdr:to>
    <xdr:sp>
      <xdr:nvSpPr>
        <xdr:cNvPr id="39" name="Line 47"/>
        <xdr:cNvSpPr>
          <a:spLocks noChangeAspect="1"/>
        </xdr:cNvSpPr>
      </xdr:nvSpPr>
      <xdr:spPr>
        <a:xfrm flipH="1">
          <a:off x="2038350" y="504825"/>
          <a:ext cx="361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0</xdr:rowOff>
    </xdr:from>
    <xdr:to>
      <xdr:col>4</xdr:col>
      <xdr:colOff>342900</xdr:colOff>
      <xdr:row>3</xdr:row>
      <xdr:rowOff>28575</xdr:rowOff>
    </xdr:to>
    <xdr:sp>
      <xdr:nvSpPr>
        <xdr:cNvPr id="40" name="Rectangle 48"/>
        <xdr:cNvSpPr>
          <a:spLocks noChangeAspect="1"/>
        </xdr:cNvSpPr>
      </xdr:nvSpPr>
      <xdr:spPr>
        <a:xfrm>
          <a:off x="2419350" y="390525"/>
          <a:ext cx="971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RAISE</a:t>
          </a:r>
        </a:p>
      </xdr:txBody>
    </xdr:sp>
    <xdr:clientData/>
  </xdr:twoCellAnchor>
  <xdr:twoCellAnchor>
    <xdr:from>
      <xdr:col>0</xdr:col>
      <xdr:colOff>485775</xdr:colOff>
      <xdr:row>7</xdr:row>
      <xdr:rowOff>19050</xdr:rowOff>
    </xdr:from>
    <xdr:to>
      <xdr:col>5</xdr:col>
      <xdr:colOff>419100</xdr:colOff>
      <xdr:row>7</xdr:row>
      <xdr:rowOff>28575</xdr:rowOff>
    </xdr:to>
    <xdr:sp>
      <xdr:nvSpPr>
        <xdr:cNvPr id="41" name="Line 49"/>
        <xdr:cNvSpPr>
          <a:spLocks noChangeAspect="1"/>
        </xdr:cNvSpPr>
      </xdr:nvSpPr>
      <xdr:spPr>
        <a:xfrm>
          <a:off x="485775" y="1219200"/>
          <a:ext cx="3743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</xdr:row>
      <xdr:rowOff>0</xdr:rowOff>
    </xdr:from>
    <xdr:to>
      <xdr:col>5</xdr:col>
      <xdr:colOff>371475</xdr:colOff>
      <xdr:row>9</xdr:row>
      <xdr:rowOff>19050</xdr:rowOff>
    </xdr:to>
    <xdr:sp>
      <xdr:nvSpPr>
        <xdr:cNvPr id="42" name="Rectangle 50"/>
        <xdr:cNvSpPr>
          <a:spLocks noChangeAspect="1"/>
        </xdr:cNvSpPr>
      </xdr:nvSpPr>
      <xdr:spPr>
        <a:xfrm>
          <a:off x="3533775" y="1362075"/>
          <a:ext cx="647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BACKFILL</a:t>
          </a:r>
        </a:p>
      </xdr:txBody>
    </xdr:sp>
    <xdr:clientData/>
  </xdr:twoCellAnchor>
  <xdr:twoCellAnchor>
    <xdr:from>
      <xdr:col>1</xdr:col>
      <xdr:colOff>76200</xdr:colOff>
      <xdr:row>4</xdr:row>
      <xdr:rowOff>104775</xdr:rowOff>
    </xdr:from>
    <xdr:to>
      <xdr:col>1</xdr:col>
      <xdr:colOff>342900</xdr:colOff>
      <xdr:row>5</xdr:row>
      <xdr:rowOff>142875</xdr:rowOff>
    </xdr:to>
    <xdr:sp>
      <xdr:nvSpPr>
        <xdr:cNvPr id="43" name="Oval 51"/>
        <xdr:cNvSpPr>
          <a:spLocks noChangeAspect="1"/>
        </xdr:cNvSpPr>
      </xdr:nvSpPr>
      <xdr:spPr>
        <a:xfrm>
          <a:off x="838200" y="819150"/>
          <a:ext cx="266700" cy="2000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590550</xdr:colOff>
      <xdr:row>3</xdr:row>
      <xdr:rowOff>38100</xdr:rowOff>
    </xdr:from>
    <xdr:to>
      <xdr:col>3</xdr:col>
      <xdr:colOff>114300</xdr:colOff>
      <xdr:row>4</xdr:row>
      <xdr:rowOff>104775</xdr:rowOff>
    </xdr:to>
    <xdr:sp>
      <xdr:nvSpPr>
        <xdr:cNvPr id="44" name="Oval 52"/>
        <xdr:cNvSpPr>
          <a:spLocks noChangeAspect="1"/>
        </xdr:cNvSpPr>
      </xdr:nvSpPr>
      <xdr:spPr>
        <a:xfrm>
          <a:off x="2114550" y="590550"/>
          <a:ext cx="28575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66675</xdr:colOff>
      <xdr:row>4</xdr:row>
      <xdr:rowOff>47625</xdr:rowOff>
    </xdr:from>
    <xdr:to>
      <xdr:col>4</xdr:col>
      <xdr:colOff>342900</xdr:colOff>
      <xdr:row>5</xdr:row>
      <xdr:rowOff>114300</xdr:rowOff>
    </xdr:to>
    <xdr:sp>
      <xdr:nvSpPr>
        <xdr:cNvPr id="45" name="Oval 53"/>
        <xdr:cNvSpPr>
          <a:spLocks noChangeAspect="1"/>
        </xdr:cNvSpPr>
      </xdr:nvSpPr>
      <xdr:spPr>
        <a:xfrm>
          <a:off x="3114675" y="762000"/>
          <a:ext cx="276225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323850</xdr:colOff>
      <xdr:row>6</xdr:row>
      <xdr:rowOff>0</xdr:rowOff>
    </xdr:from>
    <xdr:to>
      <xdr:col>1</xdr:col>
      <xdr:colOff>600075</xdr:colOff>
      <xdr:row>7</xdr:row>
      <xdr:rowOff>95250</xdr:rowOff>
    </xdr:to>
    <xdr:sp>
      <xdr:nvSpPr>
        <xdr:cNvPr id="46" name="Oval 54"/>
        <xdr:cNvSpPr>
          <a:spLocks noChangeAspect="1"/>
        </xdr:cNvSpPr>
      </xdr:nvSpPr>
      <xdr:spPr>
        <a:xfrm>
          <a:off x="1085850" y="1038225"/>
          <a:ext cx="276225" cy="25717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485775</xdr:colOff>
      <xdr:row>5</xdr:row>
      <xdr:rowOff>38100</xdr:rowOff>
    </xdr:from>
    <xdr:to>
      <xdr:col>2</xdr:col>
      <xdr:colOff>523875</xdr:colOff>
      <xdr:row>7</xdr:row>
      <xdr:rowOff>19050</xdr:rowOff>
    </xdr:to>
    <xdr:sp>
      <xdr:nvSpPr>
        <xdr:cNvPr id="47" name="Polygon 56"/>
        <xdr:cNvSpPr>
          <a:spLocks noChangeAspect="1"/>
        </xdr:cNvSpPr>
      </xdr:nvSpPr>
      <xdr:spPr>
        <a:xfrm>
          <a:off x="2009775" y="914400"/>
          <a:ext cx="38100" cy="304800"/>
        </a:xfrm>
        <a:custGeom>
          <a:pathLst>
            <a:path h="49" w="5">
              <a:moveTo>
                <a:pt x="0" y="49"/>
              </a:moveTo>
              <a:lnTo>
                <a:pt x="0" y="0"/>
              </a:lnTo>
              <a:lnTo>
                <a:pt x="5" y="0"/>
              </a:lnTo>
              <a:lnTo>
                <a:pt x="5" y="49"/>
              </a:lnTo>
            </a:path>
          </a:pathLst>
        </a:cu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38100</xdr:rowOff>
    </xdr:from>
    <xdr:to>
      <xdr:col>1</xdr:col>
      <xdr:colOff>723900</xdr:colOff>
      <xdr:row>9</xdr:row>
      <xdr:rowOff>38100</xdr:rowOff>
    </xdr:to>
    <xdr:sp>
      <xdr:nvSpPr>
        <xdr:cNvPr id="48" name="Rectangle 57"/>
        <xdr:cNvSpPr>
          <a:spLocks noChangeAspect="1"/>
        </xdr:cNvSpPr>
      </xdr:nvSpPr>
      <xdr:spPr>
        <a:xfrm>
          <a:off x="838200" y="14001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FENCE</a:t>
          </a:r>
        </a:p>
      </xdr:txBody>
    </xdr:sp>
    <xdr:clientData/>
  </xdr:twoCellAnchor>
  <xdr:twoCellAnchor>
    <xdr:from>
      <xdr:col>3</xdr:col>
      <xdr:colOff>19050</xdr:colOff>
      <xdr:row>7</xdr:row>
      <xdr:rowOff>28575</xdr:rowOff>
    </xdr:from>
    <xdr:to>
      <xdr:col>3</xdr:col>
      <xdr:colOff>85725</xdr:colOff>
      <xdr:row>9</xdr:row>
      <xdr:rowOff>66675</xdr:rowOff>
    </xdr:to>
    <xdr:sp>
      <xdr:nvSpPr>
        <xdr:cNvPr id="49" name="Rectangle 59"/>
        <xdr:cNvSpPr>
          <a:spLocks/>
        </xdr:cNvSpPr>
      </xdr:nvSpPr>
      <xdr:spPr>
        <a:xfrm rot="20998754">
          <a:off x="2305050" y="1228725"/>
          <a:ext cx="66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19050</xdr:rowOff>
    </xdr:from>
    <xdr:to>
      <xdr:col>3</xdr:col>
      <xdr:colOff>409575</xdr:colOff>
      <xdr:row>9</xdr:row>
      <xdr:rowOff>66675</xdr:rowOff>
    </xdr:to>
    <xdr:sp>
      <xdr:nvSpPr>
        <xdr:cNvPr id="50" name="Rectangle 60"/>
        <xdr:cNvSpPr>
          <a:spLocks/>
        </xdr:cNvSpPr>
      </xdr:nvSpPr>
      <xdr:spPr>
        <a:xfrm rot="20998754">
          <a:off x="2628900" y="1219200"/>
          <a:ext cx="66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</xdr:row>
      <xdr:rowOff>47625</xdr:rowOff>
    </xdr:from>
    <xdr:to>
      <xdr:col>3</xdr:col>
      <xdr:colOff>9525</xdr:colOff>
      <xdr:row>7</xdr:row>
      <xdr:rowOff>38100</xdr:rowOff>
    </xdr:to>
    <xdr:sp>
      <xdr:nvSpPr>
        <xdr:cNvPr id="51" name="Rectangle 61"/>
        <xdr:cNvSpPr>
          <a:spLocks/>
        </xdr:cNvSpPr>
      </xdr:nvSpPr>
      <xdr:spPr>
        <a:xfrm rot="20998754">
          <a:off x="2238375" y="923925"/>
          <a:ext cx="571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47625</xdr:rowOff>
    </xdr:from>
    <xdr:to>
      <xdr:col>3</xdr:col>
      <xdr:colOff>323850</xdr:colOff>
      <xdr:row>7</xdr:row>
      <xdr:rowOff>28575</xdr:rowOff>
    </xdr:to>
    <xdr:sp>
      <xdr:nvSpPr>
        <xdr:cNvPr id="52" name="Rectangle 62"/>
        <xdr:cNvSpPr>
          <a:spLocks/>
        </xdr:cNvSpPr>
      </xdr:nvSpPr>
      <xdr:spPr>
        <a:xfrm rot="20998754">
          <a:off x="2543175" y="923925"/>
          <a:ext cx="66675" cy="304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142875</xdr:rowOff>
    </xdr:from>
    <xdr:to>
      <xdr:col>3</xdr:col>
      <xdr:colOff>685800</xdr:colOff>
      <xdr:row>8</xdr:row>
      <xdr:rowOff>38100</xdr:rowOff>
    </xdr:to>
    <xdr:sp>
      <xdr:nvSpPr>
        <xdr:cNvPr id="53" name="Line 63"/>
        <xdr:cNvSpPr>
          <a:spLocks/>
        </xdr:cNvSpPr>
      </xdr:nvSpPr>
      <xdr:spPr>
        <a:xfrm flipH="1" flipV="1">
          <a:off x="2647950" y="1181100"/>
          <a:ext cx="32385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142875</xdr:rowOff>
    </xdr:from>
    <xdr:to>
      <xdr:col>3</xdr:col>
      <xdr:colOff>685800</xdr:colOff>
      <xdr:row>8</xdr:row>
      <xdr:rowOff>47625</xdr:rowOff>
    </xdr:to>
    <xdr:sp>
      <xdr:nvSpPr>
        <xdr:cNvPr id="54" name="Line 64"/>
        <xdr:cNvSpPr>
          <a:spLocks/>
        </xdr:cNvSpPr>
      </xdr:nvSpPr>
      <xdr:spPr>
        <a:xfrm flipH="1" flipV="1">
          <a:off x="2333625" y="1181100"/>
          <a:ext cx="638175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</xdr:row>
      <xdr:rowOff>152400</xdr:rowOff>
    </xdr:from>
    <xdr:to>
      <xdr:col>5</xdr:col>
      <xdr:colOff>428625</xdr:colOff>
      <xdr:row>9</xdr:row>
      <xdr:rowOff>85725</xdr:rowOff>
    </xdr:to>
    <xdr:grpSp>
      <xdr:nvGrpSpPr>
        <xdr:cNvPr id="55" name="Group 77"/>
        <xdr:cNvGrpSpPr>
          <a:grpSpLocks/>
        </xdr:cNvGrpSpPr>
      </xdr:nvGrpSpPr>
      <xdr:grpSpPr>
        <a:xfrm>
          <a:off x="485775" y="381000"/>
          <a:ext cx="3752850" cy="1228725"/>
          <a:chOff x="51" y="40"/>
          <a:chExt cx="394" cy="129"/>
        </a:xfrm>
        <a:solidFill>
          <a:srgbClr val="FFFFFF"/>
        </a:solidFill>
      </xdr:grpSpPr>
      <xdr:sp>
        <xdr:nvSpPr>
          <xdr:cNvPr id="56" name="Polygon 58"/>
          <xdr:cNvSpPr>
            <a:spLocks/>
          </xdr:cNvSpPr>
        </xdr:nvSpPr>
        <xdr:spPr>
          <a:xfrm>
            <a:off x="52" y="40"/>
            <a:ext cx="393" cy="129"/>
          </a:xfrm>
          <a:custGeom>
            <a:pathLst>
              <a:path h="242" w="567">
                <a:moveTo>
                  <a:pt x="2" y="242"/>
                </a:moveTo>
                <a:lnTo>
                  <a:pt x="3" y="125"/>
                </a:lnTo>
                <a:lnTo>
                  <a:pt x="226" y="125"/>
                </a:lnTo>
                <a:lnTo>
                  <a:pt x="186" y="0"/>
                </a:lnTo>
                <a:lnTo>
                  <a:pt x="220" y="2"/>
                </a:lnTo>
                <a:lnTo>
                  <a:pt x="249" y="86"/>
                </a:lnTo>
                <a:lnTo>
                  <a:pt x="341" y="86"/>
                </a:lnTo>
                <a:lnTo>
                  <a:pt x="353" y="125"/>
                </a:lnTo>
                <a:lnTo>
                  <a:pt x="565" y="123"/>
                </a:lnTo>
                <a:lnTo>
                  <a:pt x="567" y="239"/>
                </a:lnTo>
                <a:lnTo>
                  <a:pt x="0" y="24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65"/>
          <xdr:cNvSpPr>
            <a:spLocks noChangeAspect="1"/>
          </xdr:cNvSpPr>
        </xdr:nvSpPr>
        <xdr:spPr>
          <a:xfrm>
            <a:off x="51" y="97"/>
            <a:ext cx="39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714375</xdr:colOff>
      <xdr:row>6</xdr:row>
      <xdr:rowOff>133350</xdr:rowOff>
    </xdr:from>
    <xdr:to>
      <xdr:col>2</xdr:col>
      <xdr:colOff>476250</xdr:colOff>
      <xdr:row>8</xdr:row>
      <xdr:rowOff>142875</xdr:rowOff>
    </xdr:to>
    <xdr:sp>
      <xdr:nvSpPr>
        <xdr:cNvPr id="58" name="Line 66"/>
        <xdr:cNvSpPr>
          <a:spLocks/>
        </xdr:cNvSpPr>
      </xdr:nvSpPr>
      <xdr:spPr>
        <a:xfrm flipV="1">
          <a:off x="1476375" y="1171575"/>
          <a:ext cx="523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76200</xdr:rowOff>
    </xdr:from>
    <xdr:to>
      <xdr:col>2</xdr:col>
      <xdr:colOff>485775</xdr:colOff>
      <xdr:row>6</xdr:row>
      <xdr:rowOff>76200</xdr:rowOff>
    </xdr:to>
    <xdr:sp>
      <xdr:nvSpPr>
        <xdr:cNvPr id="59" name="Line 67"/>
        <xdr:cNvSpPr>
          <a:spLocks/>
        </xdr:cNvSpPr>
      </xdr:nvSpPr>
      <xdr:spPr>
        <a:xfrm>
          <a:off x="1343025" y="1114425"/>
          <a:ext cx="6667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66675</xdr:rowOff>
    </xdr:from>
    <xdr:to>
      <xdr:col>4</xdr:col>
      <xdr:colOff>466725</xdr:colOff>
      <xdr:row>9</xdr:row>
      <xdr:rowOff>19050</xdr:rowOff>
    </xdr:to>
    <xdr:sp>
      <xdr:nvSpPr>
        <xdr:cNvPr id="60" name="Oval 55"/>
        <xdr:cNvSpPr>
          <a:spLocks noChangeAspect="1"/>
        </xdr:cNvSpPr>
      </xdr:nvSpPr>
      <xdr:spPr>
        <a:xfrm>
          <a:off x="2857500" y="1266825"/>
          <a:ext cx="657225" cy="276225"/>
        </a:xfrm>
        <a:prstGeom prst="ellipse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&amp; 6
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428625</xdr:colOff>
      <xdr:row>3</xdr:row>
      <xdr:rowOff>38100</xdr:rowOff>
    </xdr:to>
    <xdr:sp>
      <xdr:nvSpPr>
        <xdr:cNvPr id="61" name="Rectangle 75"/>
        <xdr:cNvSpPr>
          <a:spLocks/>
        </xdr:cNvSpPr>
      </xdr:nvSpPr>
      <xdr:spPr>
        <a:xfrm>
          <a:off x="676275" y="4000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A</a:t>
          </a:r>
        </a:p>
      </xdr:txBody>
    </xdr:sp>
    <xdr:clientData/>
  </xdr:twoCellAnchor>
  <xdr:twoCellAnchor>
    <xdr:from>
      <xdr:col>4</xdr:col>
      <xdr:colOff>447675</xdr:colOff>
      <xdr:row>2</xdr:row>
      <xdr:rowOff>28575</xdr:rowOff>
    </xdr:from>
    <xdr:to>
      <xdr:col>5</xdr:col>
      <xdr:colOff>200025</xdr:colOff>
      <xdr:row>3</xdr:row>
      <xdr:rowOff>57150</xdr:rowOff>
    </xdr:to>
    <xdr:sp>
      <xdr:nvSpPr>
        <xdr:cNvPr id="62" name="Rectangle 76"/>
        <xdr:cNvSpPr>
          <a:spLocks/>
        </xdr:cNvSpPr>
      </xdr:nvSpPr>
      <xdr:spPr>
        <a:xfrm>
          <a:off x="3495675" y="4191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9.8515625" style="0" customWidth="1"/>
    <col min="2" max="2" width="17.28125" style="0" customWidth="1"/>
    <col min="3" max="3" width="14.8515625" style="0" customWidth="1"/>
    <col min="4" max="4" width="12.57421875" style="0" customWidth="1"/>
    <col min="5" max="5" width="14.7109375" style="0" customWidth="1"/>
    <col min="6" max="6" width="15.7109375" style="0" customWidth="1"/>
    <col min="7" max="7" width="13.140625" style="0" customWidth="1"/>
    <col min="8" max="8" width="17.140625" style="0" customWidth="1"/>
    <col min="9" max="9" width="12.140625" style="0" customWidth="1"/>
    <col min="10" max="10" width="11.140625" style="0" customWidth="1"/>
    <col min="11" max="11" width="13.28125" style="0" customWidth="1"/>
    <col min="12" max="16384" width="11.421875" style="0" customWidth="1"/>
  </cols>
  <sheetData>
    <row r="2" ht="36.75">
      <c r="A2" s="11" t="s">
        <v>121</v>
      </c>
    </row>
    <row r="3" spans="1:10" ht="36.75">
      <c r="A3" s="11" t="s">
        <v>51</v>
      </c>
      <c r="B3" s="11"/>
      <c r="J3" s="91" t="s">
        <v>339</v>
      </c>
    </row>
    <row r="4" spans="1:2" ht="11.25" customHeight="1" thickBot="1">
      <c r="A4" s="11"/>
      <c r="B4" s="11"/>
    </row>
    <row r="5" spans="1:12" ht="13.5" thickTop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2" ht="22.5" customHeight="1">
      <c r="A8" s="83" t="s">
        <v>123</v>
      </c>
      <c r="B8" s="84"/>
    </row>
    <row r="9" spans="1:2" ht="9.75" customHeight="1" thickBot="1">
      <c r="A9" s="84"/>
      <c r="B9" s="84"/>
    </row>
    <row r="10" spans="1:11" ht="18" customHeight="1">
      <c r="A10" s="84"/>
      <c r="B10" s="84"/>
      <c r="C10" s="431" t="s">
        <v>97</v>
      </c>
      <c r="D10" s="433" t="s">
        <v>124</v>
      </c>
      <c r="E10" s="435" t="s">
        <v>98</v>
      </c>
      <c r="H10" s="437" t="s">
        <v>8</v>
      </c>
      <c r="I10" s="438"/>
      <c r="J10" s="438"/>
      <c r="K10" s="439"/>
    </row>
    <row r="11" spans="1:11" ht="15" customHeight="1" thickBot="1">
      <c r="A11" s="84"/>
      <c r="B11" s="84"/>
      <c r="C11" s="432"/>
      <c r="D11" s="434"/>
      <c r="E11" s="436"/>
      <c r="H11" s="440"/>
      <c r="I11" s="441"/>
      <c r="J11" s="441"/>
      <c r="K11" s="442"/>
    </row>
    <row r="12" spans="1:11" ht="15" customHeight="1">
      <c r="A12" s="85" t="s">
        <v>90</v>
      </c>
      <c r="B12" s="85"/>
      <c r="C12" s="252">
        <v>2</v>
      </c>
      <c r="D12" s="252">
        <v>10</v>
      </c>
      <c r="E12" s="86">
        <f>+D12*C12</f>
        <v>20</v>
      </c>
      <c r="H12" s="87"/>
      <c r="I12" s="88"/>
      <c r="J12" s="88"/>
      <c r="K12" s="89"/>
    </row>
    <row r="13" spans="1:11" ht="15" customHeight="1">
      <c r="A13" s="85" t="s">
        <v>100</v>
      </c>
      <c r="B13" s="85"/>
      <c r="C13" s="252">
        <v>2</v>
      </c>
      <c r="D13" s="252">
        <v>5</v>
      </c>
      <c r="E13" s="86">
        <f>+D13*C13</f>
        <v>10</v>
      </c>
      <c r="H13" s="90"/>
      <c r="I13" s="91"/>
      <c r="J13" s="91"/>
      <c r="K13" s="92"/>
    </row>
    <row r="14" spans="1:11" ht="15" customHeight="1">
      <c r="A14" s="85" t="s">
        <v>101</v>
      </c>
      <c r="B14" s="85"/>
      <c r="C14" s="252"/>
      <c r="D14" s="252"/>
      <c r="E14" s="86">
        <f aca="true" t="shared" si="0" ref="E14:E20">+D14*C14</f>
        <v>0</v>
      </c>
      <c r="F14" s="15"/>
      <c r="H14" s="90"/>
      <c r="I14" s="91"/>
      <c r="J14" s="91"/>
      <c r="K14" s="92"/>
    </row>
    <row r="15" spans="1:11" ht="15" customHeight="1">
      <c r="A15" s="85" t="s">
        <v>91</v>
      </c>
      <c r="B15" s="85"/>
      <c r="C15" s="252">
        <v>4</v>
      </c>
      <c r="D15" s="252">
        <v>10</v>
      </c>
      <c r="E15" s="86">
        <f t="shared" si="0"/>
        <v>40</v>
      </c>
      <c r="H15" s="90"/>
      <c r="I15" s="91"/>
      <c r="J15" s="91"/>
      <c r="K15" s="92"/>
    </row>
    <row r="16" spans="1:11" ht="15" customHeight="1">
      <c r="A16" s="85" t="s">
        <v>92</v>
      </c>
      <c r="B16" s="85"/>
      <c r="C16" s="252">
        <v>1</v>
      </c>
      <c r="D16" s="252">
        <v>15</v>
      </c>
      <c r="E16" s="86">
        <f t="shared" si="0"/>
        <v>15</v>
      </c>
      <c r="H16" s="90"/>
      <c r="I16" s="91"/>
      <c r="J16" s="91"/>
      <c r="K16" s="92"/>
    </row>
    <row r="17" spans="1:11" ht="15" customHeight="1">
      <c r="A17" s="85" t="s">
        <v>93</v>
      </c>
      <c r="B17" s="85"/>
      <c r="C17" s="252">
        <v>1</v>
      </c>
      <c r="D17" s="252">
        <v>10</v>
      </c>
      <c r="E17" s="86">
        <f t="shared" si="0"/>
        <v>10</v>
      </c>
      <c r="H17" s="90"/>
      <c r="I17" s="91"/>
      <c r="J17" s="91"/>
      <c r="K17" s="92"/>
    </row>
    <row r="18" spans="1:11" ht="15" customHeight="1">
      <c r="A18" s="85" t="s">
        <v>102</v>
      </c>
      <c r="B18" s="85"/>
      <c r="C18" s="252">
        <v>1</v>
      </c>
      <c r="D18" s="252">
        <v>12</v>
      </c>
      <c r="E18" s="86">
        <f t="shared" si="0"/>
        <v>12</v>
      </c>
      <c r="H18" s="90"/>
      <c r="I18" s="91"/>
      <c r="J18" s="91"/>
      <c r="K18" s="92"/>
    </row>
    <row r="19" spans="1:11" ht="15" customHeight="1">
      <c r="A19" s="85" t="s">
        <v>1</v>
      </c>
      <c r="B19" s="85"/>
      <c r="C19" s="252">
        <v>1</v>
      </c>
      <c r="D19" s="252">
        <v>30</v>
      </c>
      <c r="E19" s="86">
        <f t="shared" si="0"/>
        <v>30</v>
      </c>
      <c r="H19" s="90"/>
      <c r="I19" s="91"/>
      <c r="J19" s="91"/>
      <c r="K19" s="92"/>
    </row>
    <row r="20" spans="1:11" ht="15" customHeight="1" thickBot="1">
      <c r="A20" s="253"/>
      <c r="B20" s="253"/>
      <c r="C20" s="252"/>
      <c r="D20" s="252"/>
      <c r="E20" s="93">
        <f t="shared" si="0"/>
        <v>0</v>
      </c>
      <c r="H20" s="90"/>
      <c r="I20" s="91"/>
      <c r="J20" s="91"/>
      <c r="K20" s="92"/>
    </row>
    <row r="21" spans="1:11" ht="15.75" thickBot="1">
      <c r="A21" s="94"/>
      <c r="B21" s="94"/>
      <c r="C21" s="94"/>
      <c r="D21" s="94"/>
      <c r="E21" s="95">
        <f>SUM(E12:E20)</f>
        <v>137</v>
      </c>
      <c r="F21" s="60" t="s">
        <v>16</v>
      </c>
      <c r="H21" s="96"/>
      <c r="I21" s="97"/>
      <c r="J21" s="97"/>
      <c r="K21" s="98"/>
    </row>
    <row r="22" spans="1:6" ht="14.25">
      <c r="A22" s="94"/>
      <c r="B22" s="94"/>
      <c r="C22" s="94"/>
      <c r="D22" s="94"/>
      <c r="E22" s="99">
        <f>+E21/60</f>
        <v>2.283333333333333</v>
      </c>
      <c r="F22" s="60" t="s">
        <v>22</v>
      </c>
    </row>
    <row r="23" spans="1:5" ht="14.25">
      <c r="A23" s="94"/>
      <c r="B23" s="94"/>
      <c r="C23" s="94"/>
      <c r="D23" s="94"/>
      <c r="E23" s="94"/>
    </row>
    <row r="24" spans="1:12" ht="15" thickBot="1">
      <c r="A24" s="100"/>
      <c r="B24" s="100"/>
      <c r="C24" s="100"/>
      <c r="D24" s="100"/>
      <c r="E24" s="100"/>
      <c r="F24" s="37"/>
      <c r="G24" s="37"/>
      <c r="H24" s="37"/>
      <c r="I24" s="37"/>
      <c r="J24" s="37"/>
      <c r="K24" s="37"/>
      <c r="L24" s="37"/>
    </row>
    <row r="25" spans="1:4" ht="12.75">
      <c r="A25" s="2"/>
      <c r="B25" s="2"/>
      <c r="C25" s="2"/>
      <c r="D25" s="2"/>
    </row>
    <row r="26" spans="1:5" ht="23.25">
      <c r="A26" s="83" t="s">
        <v>218</v>
      </c>
      <c r="B26" s="84"/>
      <c r="C26" s="2"/>
      <c r="D26" s="2"/>
      <c r="E26" s="2"/>
    </row>
    <row r="27" spans="1:5" ht="21" thickBot="1">
      <c r="A27" s="84"/>
      <c r="B27" s="84"/>
      <c r="C27" s="2"/>
      <c r="D27" s="2"/>
      <c r="E27" s="2"/>
    </row>
    <row r="28" spans="1:11" ht="18.75" customHeight="1">
      <c r="A28" s="104" t="s">
        <v>25</v>
      </c>
      <c r="C28" s="431" t="s">
        <v>97</v>
      </c>
      <c r="D28" s="433" t="s">
        <v>124</v>
      </c>
      <c r="E28" s="435" t="s">
        <v>98</v>
      </c>
      <c r="G28" s="283" t="s">
        <v>120</v>
      </c>
      <c r="H28" s="84"/>
      <c r="I28" s="431" t="s">
        <v>97</v>
      </c>
      <c r="J28" s="433" t="s">
        <v>129</v>
      </c>
      <c r="K28" s="435" t="s">
        <v>98</v>
      </c>
    </row>
    <row r="29" spans="1:11" ht="18.75" thickBot="1">
      <c r="A29" s="104" t="s">
        <v>6</v>
      </c>
      <c r="C29" s="432"/>
      <c r="D29" s="434"/>
      <c r="E29" s="436"/>
      <c r="G29" s="283" t="s">
        <v>43</v>
      </c>
      <c r="H29" s="101"/>
      <c r="I29" s="432"/>
      <c r="J29" s="434"/>
      <c r="K29" s="436"/>
    </row>
    <row r="30" spans="1:12" ht="15" customHeight="1">
      <c r="A30" s="85" t="s">
        <v>127</v>
      </c>
      <c r="B30" s="60"/>
      <c r="C30" s="252">
        <v>1</v>
      </c>
      <c r="D30" s="252">
        <v>15</v>
      </c>
      <c r="E30" s="86">
        <f>+D30*C30</f>
        <v>15</v>
      </c>
      <c r="F30" s="60"/>
      <c r="G30" s="251" t="s">
        <v>94</v>
      </c>
      <c r="H30" s="85"/>
      <c r="I30" s="252">
        <v>1</v>
      </c>
      <c r="J30" s="252">
        <v>5</v>
      </c>
      <c r="K30" s="86">
        <f aca="true" t="shared" si="1" ref="K30:K36">+J30*I30</f>
        <v>5</v>
      </c>
      <c r="L30" s="60"/>
    </row>
    <row r="31" spans="1:12" ht="15" customHeight="1">
      <c r="A31" s="85" t="s">
        <v>128</v>
      </c>
      <c r="B31" s="60"/>
      <c r="C31" s="252"/>
      <c r="D31" s="252"/>
      <c r="E31" s="86">
        <f>+D31*C31</f>
        <v>0</v>
      </c>
      <c r="F31" s="60"/>
      <c r="G31" s="251" t="s">
        <v>309</v>
      </c>
      <c r="H31" s="85"/>
      <c r="I31" s="252">
        <v>1</v>
      </c>
      <c r="J31" s="252">
        <v>6</v>
      </c>
      <c r="K31" s="86">
        <f t="shared" si="1"/>
        <v>6</v>
      </c>
      <c r="L31" s="60"/>
    </row>
    <row r="32" spans="1:12" ht="15" customHeight="1">
      <c r="A32" s="85" t="s">
        <v>312</v>
      </c>
      <c r="C32" s="252">
        <v>1</v>
      </c>
      <c r="D32" s="252">
        <v>5</v>
      </c>
      <c r="E32" s="86">
        <f>+D32*C32</f>
        <v>5</v>
      </c>
      <c r="F32" s="60"/>
      <c r="G32" s="251" t="s">
        <v>104</v>
      </c>
      <c r="H32" s="85"/>
      <c r="I32" s="252">
        <v>1</v>
      </c>
      <c r="J32" s="252">
        <v>5</v>
      </c>
      <c r="K32" s="86">
        <f t="shared" si="1"/>
        <v>5</v>
      </c>
      <c r="L32" s="60"/>
    </row>
    <row r="33" spans="1:11" ht="15" customHeight="1" thickBot="1">
      <c r="A33" s="255"/>
      <c r="B33" s="256"/>
      <c r="C33" s="252"/>
      <c r="D33" s="252"/>
      <c r="E33" s="86">
        <f>+D33*C33</f>
        <v>0</v>
      </c>
      <c r="F33" s="60"/>
      <c r="G33" s="251" t="s">
        <v>131</v>
      </c>
      <c r="H33" s="85"/>
      <c r="I33" s="252"/>
      <c r="J33" s="252"/>
      <c r="K33" s="86">
        <f t="shared" si="1"/>
        <v>0</v>
      </c>
    </row>
    <row r="34" spans="1:11" ht="15" customHeight="1" thickBot="1">
      <c r="A34" s="105"/>
      <c r="B34" s="60"/>
      <c r="C34" s="94"/>
      <c r="D34" s="103" t="s">
        <v>125</v>
      </c>
      <c r="E34" s="95">
        <f>SUM(E30:E33)</f>
        <v>20</v>
      </c>
      <c r="F34" s="60"/>
      <c r="G34" s="251" t="s">
        <v>132</v>
      </c>
      <c r="H34" s="85"/>
      <c r="I34" s="252">
        <v>1</v>
      </c>
      <c r="J34" s="252">
        <v>10</v>
      </c>
      <c r="K34" s="86">
        <f t="shared" si="1"/>
        <v>10</v>
      </c>
    </row>
    <row r="35" spans="1:11" ht="15" customHeight="1">
      <c r="A35" s="60"/>
      <c r="B35" s="60"/>
      <c r="C35" s="60"/>
      <c r="D35" s="103" t="s">
        <v>126</v>
      </c>
      <c r="E35" s="99">
        <f>+E34/60</f>
        <v>0.3333333333333333</v>
      </c>
      <c r="F35" s="60"/>
      <c r="G35" s="251" t="s">
        <v>103</v>
      </c>
      <c r="H35" s="85"/>
      <c r="I35" s="252">
        <v>1</v>
      </c>
      <c r="J35" s="252">
        <v>8</v>
      </c>
      <c r="K35" s="86">
        <f t="shared" si="1"/>
        <v>8</v>
      </c>
    </row>
    <row r="36" spans="6:11" ht="15" customHeight="1" thickBot="1">
      <c r="F36" s="60"/>
      <c r="G36" s="251" t="s">
        <v>133</v>
      </c>
      <c r="H36" s="85"/>
      <c r="I36" s="252">
        <v>1</v>
      </c>
      <c r="J36" s="252">
        <v>5</v>
      </c>
      <c r="K36" s="86">
        <f t="shared" si="1"/>
        <v>5</v>
      </c>
    </row>
    <row r="37" spans="3:11" ht="15" customHeight="1">
      <c r="C37" s="431" t="s">
        <v>97</v>
      </c>
      <c r="D37" s="433" t="s">
        <v>124</v>
      </c>
      <c r="E37" s="435" t="s">
        <v>98</v>
      </c>
      <c r="F37" s="60"/>
      <c r="G37" s="251" t="s">
        <v>134</v>
      </c>
      <c r="H37" s="85"/>
      <c r="I37" s="252">
        <v>1</v>
      </c>
      <c r="J37" s="252">
        <v>5</v>
      </c>
      <c r="K37" s="86">
        <f>+J37*I37</f>
        <v>5</v>
      </c>
    </row>
    <row r="38" spans="1:12" ht="15" customHeight="1" thickBot="1">
      <c r="A38" s="102" t="s">
        <v>24</v>
      </c>
      <c r="B38" s="2"/>
      <c r="C38" s="432"/>
      <c r="D38" s="434"/>
      <c r="E38" s="436"/>
      <c r="G38" s="251" t="s">
        <v>136</v>
      </c>
      <c r="H38" s="85"/>
      <c r="I38" s="252">
        <v>1</v>
      </c>
      <c r="J38" s="252">
        <v>15</v>
      </c>
      <c r="K38" s="86">
        <f>+J38</f>
        <v>15</v>
      </c>
      <c r="L38" s="60"/>
    </row>
    <row r="39" spans="1:12" ht="14.25">
      <c r="A39" s="85" t="s">
        <v>311</v>
      </c>
      <c r="B39" s="60"/>
      <c r="C39" s="252">
        <v>1</v>
      </c>
      <c r="D39" s="252">
        <v>5</v>
      </c>
      <c r="E39" s="86">
        <f>+D39*C39</f>
        <v>5</v>
      </c>
      <c r="F39" s="60"/>
      <c r="G39" s="282"/>
      <c r="H39" s="253"/>
      <c r="I39" s="252"/>
      <c r="J39" s="252"/>
      <c r="K39" s="86">
        <f>+J39*I39</f>
        <v>0</v>
      </c>
      <c r="L39" s="60"/>
    </row>
    <row r="40" spans="1:12" ht="15" thickBot="1">
      <c r="A40" s="85" t="s">
        <v>310</v>
      </c>
      <c r="B40" s="60"/>
      <c r="C40" s="252">
        <v>1</v>
      </c>
      <c r="D40" s="252">
        <v>5</v>
      </c>
      <c r="E40" s="86">
        <f>+D40*C40</f>
        <v>5</v>
      </c>
      <c r="F40" s="60"/>
      <c r="G40" s="282"/>
      <c r="H40" s="253"/>
      <c r="I40" s="252"/>
      <c r="J40" s="252"/>
      <c r="K40" s="86">
        <f>+J40*I40</f>
        <v>0</v>
      </c>
      <c r="L40" s="60"/>
    </row>
    <row r="41" spans="1:11" ht="15" thickBot="1">
      <c r="A41" s="255"/>
      <c r="B41" s="256"/>
      <c r="C41" s="252"/>
      <c r="D41" s="252"/>
      <c r="E41" s="86">
        <f>+D41*C41</f>
        <v>0</v>
      </c>
      <c r="H41" s="105"/>
      <c r="I41" s="94"/>
      <c r="J41" s="103" t="s">
        <v>130</v>
      </c>
      <c r="K41" s="95">
        <f>SUM(K30:K40)</f>
        <v>59</v>
      </c>
    </row>
    <row r="42" spans="1:11" ht="15" thickBot="1">
      <c r="A42" s="60"/>
      <c r="B42" s="60"/>
      <c r="C42" s="60"/>
      <c r="D42" s="103" t="s">
        <v>125</v>
      </c>
      <c r="E42" s="95">
        <f>SUM(E39:E41)</f>
        <v>10</v>
      </c>
      <c r="G42" s="105"/>
      <c r="H42" s="105"/>
      <c r="I42" s="94"/>
      <c r="J42" s="103" t="s">
        <v>95</v>
      </c>
      <c r="K42" s="99">
        <f>+K41/60</f>
        <v>0.9833333333333333</v>
      </c>
    </row>
    <row r="43" spans="1:5" ht="14.25">
      <c r="A43" s="60"/>
      <c r="B43" s="60"/>
      <c r="C43" s="60"/>
      <c r="D43" s="103" t="s">
        <v>126</v>
      </c>
      <c r="E43" s="99">
        <f>+E42/60</f>
        <v>0.16666666666666666</v>
      </c>
    </row>
    <row r="44" spans="7:10" ht="6" customHeight="1">
      <c r="G44" s="60"/>
      <c r="H44" s="60"/>
      <c r="I44" s="60"/>
      <c r="J44" s="103"/>
    </row>
    <row r="45" spans="1:10" ht="23.25">
      <c r="A45" s="83" t="s">
        <v>105</v>
      </c>
      <c r="G45" s="60"/>
      <c r="H45" s="60"/>
      <c r="I45" s="60"/>
      <c r="J45" s="103"/>
    </row>
    <row r="47" ht="18.75" thickBot="1">
      <c r="A47" s="106" t="s">
        <v>145</v>
      </c>
    </row>
    <row r="48" spans="1:11" ht="18" customHeight="1">
      <c r="A48" s="106" t="s">
        <v>146</v>
      </c>
      <c r="C48" s="431" t="s">
        <v>97</v>
      </c>
      <c r="D48" s="433" t="s">
        <v>124</v>
      </c>
      <c r="E48" s="435" t="s">
        <v>98</v>
      </c>
      <c r="G48" s="104" t="s">
        <v>143</v>
      </c>
      <c r="I48" s="431" t="s">
        <v>97</v>
      </c>
      <c r="J48" s="433" t="s">
        <v>129</v>
      </c>
      <c r="K48" s="435" t="s">
        <v>98</v>
      </c>
    </row>
    <row r="49" spans="1:11" ht="18.75" thickBot="1">
      <c r="A49" s="107"/>
      <c r="B49" s="108"/>
      <c r="C49" s="432"/>
      <c r="D49" s="434"/>
      <c r="E49" s="436"/>
      <c r="G49" s="104" t="s">
        <v>144</v>
      </c>
      <c r="I49" s="432"/>
      <c r="J49" s="434"/>
      <c r="K49" s="436"/>
    </row>
    <row r="50" spans="1:12" ht="15" customHeight="1">
      <c r="A50" s="85" t="s">
        <v>219</v>
      </c>
      <c r="C50" s="254">
        <v>2</v>
      </c>
      <c r="D50" s="254">
        <v>30</v>
      </c>
      <c r="E50" s="5">
        <f aca="true" t="shared" si="2" ref="E50:E59">+D50*C50</f>
        <v>60</v>
      </c>
      <c r="F50" s="60"/>
      <c r="G50" s="429" t="s">
        <v>135</v>
      </c>
      <c r="H50" s="430"/>
      <c r="I50" s="258">
        <v>2</v>
      </c>
      <c r="J50" s="252">
        <v>20</v>
      </c>
      <c r="K50" s="86">
        <f>+J50*I50</f>
        <v>40</v>
      </c>
      <c r="L50" s="60"/>
    </row>
    <row r="51" spans="1:12" ht="15" customHeight="1">
      <c r="A51" s="85" t="s">
        <v>106</v>
      </c>
      <c r="C51" s="254">
        <v>3</v>
      </c>
      <c r="D51" s="254">
        <f>6*60</f>
        <v>360</v>
      </c>
      <c r="E51" s="5">
        <f t="shared" si="2"/>
        <v>1080</v>
      </c>
      <c r="F51" s="60"/>
      <c r="G51" s="429" t="s">
        <v>26</v>
      </c>
      <c r="H51" s="430"/>
      <c r="I51" s="258">
        <v>2</v>
      </c>
      <c r="J51" s="252">
        <v>30</v>
      </c>
      <c r="K51" s="86">
        <f>+J51*I51</f>
        <v>60</v>
      </c>
      <c r="L51" s="60"/>
    </row>
    <row r="52" spans="1:12" ht="15" customHeight="1">
      <c r="A52" s="85" t="s">
        <v>96</v>
      </c>
      <c r="C52" s="254">
        <v>3</v>
      </c>
      <c r="D52" s="254">
        <f>6*60</f>
        <v>360</v>
      </c>
      <c r="E52" s="5">
        <f t="shared" si="2"/>
        <v>1080</v>
      </c>
      <c r="F52" s="60"/>
      <c r="G52" s="429" t="s">
        <v>107</v>
      </c>
      <c r="H52" s="430"/>
      <c r="I52" s="259">
        <v>1</v>
      </c>
      <c r="J52" s="252">
        <v>30</v>
      </c>
      <c r="K52" s="86">
        <f>+J52*I52</f>
        <v>30</v>
      </c>
      <c r="L52" s="60"/>
    </row>
    <row r="53" spans="1:12" ht="15" customHeight="1">
      <c r="A53" s="85" t="s">
        <v>137</v>
      </c>
      <c r="C53" s="254">
        <v>3</v>
      </c>
      <c r="D53" s="254">
        <f>6*60</f>
        <v>360</v>
      </c>
      <c r="E53" s="5">
        <f t="shared" si="2"/>
        <v>1080</v>
      </c>
      <c r="F53" s="60"/>
      <c r="G53" s="383" t="s">
        <v>108</v>
      </c>
      <c r="H53" s="384"/>
      <c r="I53" s="252">
        <v>2</v>
      </c>
      <c r="J53" s="252">
        <v>20</v>
      </c>
      <c r="K53" s="86">
        <f>+J53</f>
        <v>20</v>
      </c>
      <c r="L53" s="60"/>
    </row>
    <row r="54" spans="1:11" ht="15" customHeight="1">
      <c r="A54" s="85" t="s">
        <v>313</v>
      </c>
      <c r="C54" s="254">
        <v>2</v>
      </c>
      <c r="D54" s="254">
        <f>5*60</f>
        <v>300</v>
      </c>
      <c r="E54" s="5">
        <f t="shared" si="2"/>
        <v>600</v>
      </c>
      <c r="F54" s="60"/>
      <c r="G54" s="385"/>
      <c r="H54" s="386"/>
      <c r="I54" s="252"/>
      <c r="J54" s="252"/>
      <c r="K54" s="93">
        <f>+J54*I54</f>
        <v>0</v>
      </c>
    </row>
    <row r="55" spans="1:11" ht="15" customHeight="1" thickBot="1">
      <c r="A55" s="85" t="s">
        <v>138</v>
      </c>
      <c r="C55" s="254">
        <v>2</v>
      </c>
      <c r="D55" s="254">
        <f>60*3</f>
        <v>180</v>
      </c>
      <c r="E55" s="5">
        <f t="shared" si="2"/>
        <v>360</v>
      </c>
      <c r="F55" s="60"/>
      <c r="G55" s="385"/>
      <c r="H55" s="386"/>
      <c r="I55" s="257"/>
      <c r="J55" s="252"/>
      <c r="K55" s="93">
        <f>+J55*I55</f>
        <v>0</v>
      </c>
    </row>
    <row r="56" spans="1:11" ht="15" customHeight="1" thickBot="1">
      <c r="A56" s="85" t="s">
        <v>139</v>
      </c>
      <c r="C56" s="254">
        <v>2</v>
      </c>
      <c r="D56" s="254">
        <v>20</v>
      </c>
      <c r="E56" s="5">
        <f t="shared" si="2"/>
        <v>40</v>
      </c>
      <c r="G56" s="60"/>
      <c r="H56" s="60"/>
      <c r="I56" s="60"/>
      <c r="J56" s="103" t="s">
        <v>16</v>
      </c>
      <c r="K56" s="95">
        <f>SUM(K50:K55)</f>
        <v>150</v>
      </c>
    </row>
    <row r="57" spans="1:11" ht="15" customHeight="1">
      <c r="A57" s="85" t="s">
        <v>140</v>
      </c>
      <c r="C57" s="254">
        <v>6</v>
      </c>
      <c r="D57" s="254">
        <v>7</v>
      </c>
      <c r="E57" s="5">
        <f t="shared" si="2"/>
        <v>42</v>
      </c>
      <c r="G57" s="60"/>
      <c r="H57" s="60"/>
      <c r="I57" s="60"/>
      <c r="J57" s="103" t="s">
        <v>23</v>
      </c>
      <c r="K57" s="109">
        <f>+K56/60</f>
        <v>2.5</v>
      </c>
    </row>
    <row r="58" spans="1:5" ht="15" customHeight="1">
      <c r="A58" s="85" t="s">
        <v>141</v>
      </c>
      <c r="C58" s="254">
        <v>6</v>
      </c>
      <c r="D58" s="254">
        <v>12</v>
      </c>
      <c r="E58" s="5">
        <f t="shared" si="2"/>
        <v>72</v>
      </c>
    </row>
    <row r="59" spans="1:5" ht="15" customHeight="1">
      <c r="A59" s="253" t="s">
        <v>142</v>
      </c>
      <c r="B59" s="253"/>
      <c r="C59" s="254">
        <v>2</v>
      </c>
      <c r="D59" s="254">
        <v>15</v>
      </c>
      <c r="E59" s="5">
        <f t="shared" si="2"/>
        <v>30</v>
      </c>
    </row>
    <row r="60" spans="1:5" ht="15" customHeight="1" thickBot="1">
      <c r="A60" s="253"/>
      <c r="B60" s="253"/>
      <c r="C60" s="254"/>
      <c r="D60" s="254"/>
      <c r="E60" s="5">
        <f>+D60*C60</f>
        <v>0</v>
      </c>
    </row>
    <row r="61" spans="1:6" ht="15" thickBot="1">
      <c r="A61" s="105"/>
      <c r="B61" s="105"/>
      <c r="C61" s="94"/>
      <c r="E61" s="95">
        <f>SUM(E50:E60)</f>
        <v>4444</v>
      </c>
      <c r="F61" s="60" t="s">
        <v>16</v>
      </c>
    </row>
    <row r="62" spans="1:6" ht="14.25">
      <c r="A62" s="12" t="s">
        <v>325</v>
      </c>
      <c r="B62" s="105"/>
      <c r="C62" s="94"/>
      <c r="E62" s="99">
        <f>+E61/60</f>
        <v>74.06666666666666</v>
      </c>
      <c r="F62" s="94" t="s">
        <v>50</v>
      </c>
    </row>
    <row r="63" spans="1:12" ht="8.25" customHeight="1" thickBot="1">
      <c r="A63" s="177"/>
      <c r="B63" s="177"/>
      <c r="C63" s="178"/>
      <c r="D63" s="178"/>
      <c r="E63" s="179"/>
      <c r="F63" s="179"/>
      <c r="G63" s="179"/>
      <c r="H63" s="179"/>
      <c r="I63" s="179"/>
      <c r="J63" s="179"/>
      <c r="K63" s="179"/>
      <c r="L63" s="179"/>
    </row>
    <row r="64" spans="1:5" ht="13.5" thickTop="1">
      <c r="A64" s="14"/>
      <c r="B64" s="14"/>
      <c r="C64" s="2"/>
      <c r="D64" s="2"/>
      <c r="E64" s="2"/>
    </row>
    <row r="65" spans="1:6" ht="18">
      <c r="A65" s="14"/>
      <c r="B65" s="14"/>
      <c r="C65" s="2"/>
      <c r="D65" s="2"/>
      <c r="E65" s="104"/>
      <c r="F65" s="104" t="s">
        <v>81</v>
      </c>
    </row>
    <row r="66" spans="1:6" ht="18">
      <c r="A66" s="14"/>
      <c r="B66" s="14"/>
      <c r="C66" s="2"/>
      <c r="D66" s="2"/>
      <c r="E66" s="110"/>
      <c r="F66" s="110" t="s">
        <v>147</v>
      </c>
    </row>
    <row r="67" spans="1:7" ht="14.25">
      <c r="A67" s="14"/>
      <c r="B67" s="14"/>
      <c r="C67" s="2"/>
      <c r="D67" s="2"/>
      <c r="G67" s="60"/>
    </row>
    <row r="68" spans="1:6" ht="15">
      <c r="A68" s="14"/>
      <c r="B68" s="14"/>
      <c r="C68" s="2"/>
      <c r="D68" s="2"/>
      <c r="F68" s="111" t="s">
        <v>148</v>
      </c>
    </row>
    <row r="69" spans="1:6" ht="15">
      <c r="A69" s="14"/>
      <c r="B69" s="14"/>
      <c r="C69" s="2"/>
      <c r="D69" s="2"/>
      <c r="F69" s="111" t="s">
        <v>277</v>
      </c>
    </row>
    <row r="70" spans="1:6" ht="15">
      <c r="A70" s="14"/>
      <c r="B70" s="14"/>
      <c r="C70" s="2"/>
      <c r="D70" s="2"/>
      <c r="E70" s="2"/>
      <c r="F70" s="111" t="s">
        <v>149</v>
      </c>
    </row>
    <row r="71" spans="1:5" ht="12.75">
      <c r="A71" s="14"/>
      <c r="B71" s="14"/>
      <c r="C71" s="2"/>
      <c r="D71" s="2"/>
      <c r="E71" s="2"/>
    </row>
    <row r="72" spans="1:5" ht="12.75">
      <c r="A72" s="14"/>
      <c r="B72" s="14"/>
      <c r="C72" s="2"/>
      <c r="D72" s="2"/>
      <c r="E72" s="2"/>
    </row>
    <row r="73" spans="1:5" ht="7.5" customHeight="1">
      <c r="A73" s="14"/>
      <c r="B73" s="14"/>
      <c r="C73" s="2"/>
      <c r="D73" s="2"/>
      <c r="E73" s="2"/>
    </row>
    <row r="74" spans="1:5" ht="23.25">
      <c r="A74" s="83" t="s">
        <v>316</v>
      </c>
      <c r="B74" s="84"/>
      <c r="C74" s="2"/>
      <c r="D74" s="2"/>
      <c r="E74" s="2"/>
    </row>
    <row r="75" spans="1:5" ht="12.75">
      <c r="A75" s="14"/>
      <c r="B75" s="14"/>
      <c r="C75" s="39"/>
      <c r="D75" s="39"/>
      <c r="E75" s="39"/>
    </row>
    <row r="76" spans="1:5" ht="20.25">
      <c r="A76" s="112" t="s">
        <v>327</v>
      </c>
      <c r="B76" s="14"/>
      <c r="C76" s="39"/>
      <c r="D76" s="39"/>
      <c r="E76" s="39"/>
    </row>
    <row r="77" spans="1:5" ht="10.5" customHeight="1" thickBot="1">
      <c r="A77" s="106"/>
      <c r="B77" s="14"/>
      <c r="C77" s="39"/>
      <c r="D77" s="39"/>
      <c r="E77" s="39"/>
    </row>
    <row r="78" spans="1:6" ht="18">
      <c r="A78" s="106"/>
      <c r="B78" s="425" t="s">
        <v>286</v>
      </c>
      <c r="C78" s="426"/>
      <c r="D78" s="39"/>
      <c r="E78" s="425" t="s">
        <v>39</v>
      </c>
      <c r="F78" s="426"/>
    </row>
    <row r="79" spans="1:6" ht="18">
      <c r="A79" s="14"/>
      <c r="B79" s="427" t="s">
        <v>27</v>
      </c>
      <c r="C79" s="428"/>
      <c r="E79" s="427" t="s">
        <v>27</v>
      </c>
      <c r="F79" s="428"/>
    </row>
    <row r="80" spans="2:6" ht="6" customHeight="1">
      <c r="B80" s="35"/>
      <c r="C80" s="32"/>
      <c r="E80" s="35"/>
      <c r="F80" s="32"/>
    </row>
    <row r="81" spans="1:6" ht="12.75" customHeight="1">
      <c r="A81" s="289" t="s">
        <v>221</v>
      </c>
      <c r="B81" s="260">
        <v>3</v>
      </c>
      <c r="C81" s="32"/>
      <c r="E81" s="113" t="s">
        <v>153</v>
      </c>
      <c r="F81" s="262">
        <f>114-6*2.4</f>
        <v>99.6</v>
      </c>
    </row>
    <row r="82" spans="1:8" ht="12.75">
      <c r="A82" s="114" t="s">
        <v>150</v>
      </c>
      <c r="B82" s="261">
        <v>2.4</v>
      </c>
      <c r="C82" s="32"/>
      <c r="E82" s="113" t="s">
        <v>154</v>
      </c>
      <c r="F82" s="262">
        <v>1.7</v>
      </c>
      <c r="H82" s="115" t="s">
        <v>28</v>
      </c>
    </row>
    <row r="83" spans="1:8" ht="12.75">
      <c r="A83" s="114" t="s">
        <v>151</v>
      </c>
      <c r="B83" s="261">
        <v>2.2</v>
      </c>
      <c r="C83" s="32"/>
      <c r="E83" s="116" t="s">
        <v>155</v>
      </c>
      <c r="F83" s="49">
        <f>+B83</f>
        <v>2.2</v>
      </c>
      <c r="H83" s="263">
        <v>2.95</v>
      </c>
    </row>
    <row r="84" spans="1:6" ht="12.75" customHeight="1">
      <c r="A84" s="114" t="s">
        <v>152</v>
      </c>
      <c r="B84" s="62">
        <f>ROUNDUP(B83*I122*B82*$H$83*B81,0)</f>
        <v>80</v>
      </c>
      <c r="C84" s="32"/>
      <c r="E84" s="116" t="s">
        <v>156</v>
      </c>
      <c r="F84" s="49">
        <f>ROUNDUP(F83*I122*F81*$H$83,0)</f>
        <v>1099</v>
      </c>
    </row>
    <row r="85" spans="1:11" ht="18" customHeight="1" thickBot="1">
      <c r="A85" s="37"/>
      <c r="B85" s="36"/>
      <c r="C85" s="38"/>
      <c r="D85" s="37"/>
      <c r="E85" s="36"/>
      <c r="F85" s="38"/>
      <c r="G85" s="37"/>
      <c r="H85" s="37"/>
      <c r="I85" s="37"/>
      <c r="J85" s="37"/>
      <c r="K85" s="37"/>
    </row>
    <row r="86" spans="1:11" ht="18" customHeight="1">
      <c r="A86" s="2"/>
      <c r="B86" s="35"/>
      <c r="C86" s="32"/>
      <c r="D86" s="2"/>
      <c r="E86" s="35"/>
      <c r="F86" s="32"/>
      <c r="G86" s="2"/>
      <c r="H86" s="2"/>
      <c r="I86" s="2"/>
      <c r="J86" s="2"/>
      <c r="K86" s="2"/>
    </row>
    <row r="87" spans="1:6" ht="18" customHeight="1">
      <c r="A87" s="112" t="s">
        <v>317</v>
      </c>
      <c r="B87" s="64"/>
      <c r="C87" s="32"/>
      <c r="E87" s="64"/>
      <c r="F87" s="410" t="s">
        <v>241</v>
      </c>
    </row>
    <row r="88" spans="1:6" ht="18" customHeight="1">
      <c r="A88" s="106"/>
      <c r="B88" s="64" t="s">
        <v>158</v>
      </c>
      <c r="C88" s="32"/>
      <c r="E88" s="64" t="s">
        <v>158</v>
      </c>
      <c r="F88" s="410"/>
    </row>
    <row r="89" spans="1:7" ht="18" customHeight="1">
      <c r="A89" s="106"/>
      <c r="B89" s="64" t="s">
        <v>159</v>
      </c>
      <c r="C89" s="63" t="s">
        <v>23</v>
      </c>
      <c r="E89" s="64" t="s">
        <v>159</v>
      </c>
      <c r="F89" s="411"/>
      <c r="G89" s="18"/>
    </row>
    <row r="90" spans="1:6" ht="18" customHeight="1">
      <c r="A90" s="284" t="s">
        <v>157</v>
      </c>
      <c r="B90" s="261">
        <v>15</v>
      </c>
      <c r="C90" s="65">
        <f>+ROUNDUP(B90/60*B82,1)</f>
        <v>0.6</v>
      </c>
      <c r="E90" s="261">
        <v>15</v>
      </c>
      <c r="F90" s="65">
        <f>ROUNDUP(+F81*E90/60,1)</f>
        <v>24.9</v>
      </c>
    </row>
    <row r="91" spans="1:11" ht="18" customHeight="1" thickBot="1">
      <c r="A91" s="37"/>
      <c r="B91" s="36"/>
      <c r="C91" s="38"/>
      <c r="D91" s="37"/>
      <c r="E91" s="36"/>
      <c r="F91" s="38"/>
      <c r="G91" s="37"/>
      <c r="H91" s="37"/>
      <c r="I91" s="37"/>
      <c r="J91" s="37"/>
      <c r="K91" s="37"/>
    </row>
    <row r="92" spans="1:11" ht="18" customHeight="1">
      <c r="A92" s="2"/>
      <c r="B92" s="35"/>
      <c r="C92" s="32"/>
      <c r="D92" s="2"/>
      <c r="E92" s="35"/>
      <c r="F92" s="32"/>
      <c r="G92" s="396" t="s">
        <v>29</v>
      </c>
      <c r="H92" s="397"/>
      <c r="I92" s="397"/>
      <c r="J92" s="397"/>
      <c r="K92" s="398"/>
    </row>
    <row r="93" spans="1:11" ht="18" customHeight="1">
      <c r="A93" s="112" t="s">
        <v>318</v>
      </c>
      <c r="B93" s="35"/>
      <c r="C93" s="32"/>
      <c r="E93" s="35"/>
      <c r="F93" s="32"/>
      <c r="G93" s="117"/>
      <c r="H93" s="117"/>
      <c r="I93" s="423" t="s">
        <v>184</v>
      </c>
      <c r="J93" s="423" t="s">
        <v>185</v>
      </c>
      <c r="K93" s="423" t="s">
        <v>186</v>
      </c>
    </row>
    <row r="94" spans="2:11" ht="18" customHeight="1">
      <c r="B94" s="35"/>
      <c r="C94" s="63" t="s">
        <v>23</v>
      </c>
      <c r="E94" s="35"/>
      <c r="F94" s="63" t="s">
        <v>23</v>
      </c>
      <c r="G94" s="117"/>
      <c r="H94" s="117"/>
      <c r="I94" s="423"/>
      <c r="J94" s="423"/>
      <c r="K94" s="424"/>
    </row>
    <row r="95" spans="1:11" ht="18" customHeight="1">
      <c r="A95" s="61" t="s">
        <v>163</v>
      </c>
      <c r="B95" s="35"/>
      <c r="C95" s="65">
        <f>+ROUNDUP(B81*B83*K98/K116,1)</f>
        <v>2.2</v>
      </c>
      <c r="E95" s="35"/>
      <c r="F95" s="65">
        <f>+ROUNDUP(F81*K98/K116,1)</f>
        <v>32</v>
      </c>
      <c r="G95" s="391" t="s">
        <v>160</v>
      </c>
      <c r="H95" s="392"/>
      <c r="I95" s="264">
        <v>1.2</v>
      </c>
      <c r="J95" s="265">
        <v>3</v>
      </c>
      <c r="K95" s="57">
        <f>ROUND(J95*I95/1.2+0.1,1)</f>
        <v>3.1</v>
      </c>
    </row>
    <row r="96" spans="2:11" ht="18" customHeight="1">
      <c r="B96" s="408" t="s">
        <v>243</v>
      </c>
      <c r="C96" s="32"/>
      <c r="E96" s="408"/>
      <c r="F96" s="32"/>
      <c r="G96" s="391" t="s">
        <v>161</v>
      </c>
      <c r="H96" s="392"/>
      <c r="I96" s="264">
        <v>1.2</v>
      </c>
      <c r="J96" s="265">
        <v>2</v>
      </c>
      <c r="K96" s="57">
        <f>ROUND(J96*I96/1.2+0.1,1)</f>
        <v>2.1</v>
      </c>
    </row>
    <row r="97" spans="2:11" ht="18" customHeight="1">
      <c r="B97" s="408"/>
      <c r="C97" s="63" t="s">
        <v>23</v>
      </c>
      <c r="E97" s="408"/>
      <c r="F97" s="63" t="s">
        <v>23</v>
      </c>
      <c r="G97" s="391" t="s">
        <v>162</v>
      </c>
      <c r="H97" s="392"/>
      <c r="I97" s="264">
        <v>1.2</v>
      </c>
      <c r="J97" s="265">
        <v>2</v>
      </c>
      <c r="K97" s="57">
        <f>ROUND(J97*I97/1.2+0.1,1)</f>
        <v>2.1</v>
      </c>
    </row>
    <row r="98" spans="1:11" ht="18" customHeight="1">
      <c r="A98" s="285" t="s">
        <v>164</v>
      </c>
      <c r="B98" s="261">
        <v>8.5</v>
      </c>
      <c r="C98" s="65">
        <f>+ROUNDUP(J98*B98*B81*B83/60,1)</f>
        <v>6.6</v>
      </c>
      <c r="E98" s="35"/>
      <c r="F98" s="65">
        <f>+ROUNDUP(J98*B98*F81/60,1)</f>
        <v>98.8</v>
      </c>
      <c r="G98" s="2"/>
      <c r="J98" s="57">
        <f>SUM(J95:J97)</f>
        <v>7</v>
      </c>
      <c r="K98" s="57">
        <f>SUM(K95:K97)</f>
        <v>7.300000000000001</v>
      </c>
    </row>
    <row r="99" spans="1:6" ht="18" customHeight="1">
      <c r="A99" s="286" t="s">
        <v>165</v>
      </c>
      <c r="B99" s="35"/>
      <c r="C99" s="118" t="s">
        <v>30</v>
      </c>
      <c r="E99" s="35"/>
      <c r="F99" s="118" t="s">
        <v>30</v>
      </c>
    </row>
    <row r="100" spans="1:11" ht="18" customHeight="1" thickBot="1">
      <c r="A100" s="37"/>
      <c r="B100" s="36"/>
      <c r="C100" s="119">
        <f>+C95+C98</f>
        <v>8.8</v>
      </c>
      <c r="D100" s="37"/>
      <c r="E100" s="36"/>
      <c r="F100" s="119">
        <f>+F95+F98</f>
        <v>130.8</v>
      </c>
      <c r="G100" s="37"/>
      <c r="H100" s="37"/>
      <c r="I100" s="37"/>
      <c r="J100" s="37"/>
      <c r="K100" s="37"/>
    </row>
    <row r="101" spans="1:11" ht="18" customHeight="1" thickBot="1">
      <c r="A101" s="2"/>
      <c r="B101" s="35"/>
      <c r="C101" s="161"/>
      <c r="D101" s="2"/>
      <c r="E101" s="35"/>
      <c r="F101" s="161"/>
      <c r="G101" s="396" t="s">
        <v>187</v>
      </c>
      <c r="H101" s="397"/>
      <c r="I101" s="397"/>
      <c r="J101" s="397"/>
      <c r="K101" s="398"/>
    </row>
    <row r="102" spans="1:11" ht="18" customHeight="1">
      <c r="A102" s="112" t="s">
        <v>319</v>
      </c>
      <c r="B102" s="64"/>
      <c r="C102" s="63"/>
      <c r="D102" s="2"/>
      <c r="E102" s="35"/>
      <c r="F102" s="161"/>
      <c r="G102" s="2"/>
      <c r="H102" s="393" t="s">
        <v>234</v>
      </c>
      <c r="I102" s="394"/>
      <c r="J102" s="395"/>
      <c r="K102" s="2"/>
    </row>
    <row r="103" spans="1:11" ht="18" customHeight="1">
      <c r="A103" s="2"/>
      <c r="B103" s="64" t="s">
        <v>280</v>
      </c>
      <c r="C103" s="63" t="s">
        <v>23</v>
      </c>
      <c r="E103" s="64" t="s">
        <v>280</v>
      </c>
      <c r="F103" s="63" t="s">
        <v>23</v>
      </c>
      <c r="G103" s="2"/>
      <c r="H103" s="170" t="s">
        <v>189</v>
      </c>
      <c r="I103" s="6" t="s">
        <v>39</v>
      </c>
      <c r="J103" s="66" t="s">
        <v>14</v>
      </c>
      <c r="K103" s="48" t="s">
        <v>31</v>
      </c>
    </row>
    <row r="104" spans="1:11" ht="18" customHeight="1" thickBot="1">
      <c r="A104" s="1" t="s">
        <v>166</v>
      </c>
      <c r="B104" s="261">
        <v>50</v>
      </c>
      <c r="C104" s="65">
        <f>+ROUNDUP(B84/B104,1)</f>
        <v>1.6</v>
      </c>
      <c r="E104" s="261">
        <v>53</v>
      </c>
      <c r="F104" s="65">
        <f>+ROUNDUP(F84/E104,1)</f>
        <v>20.8</v>
      </c>
      <c r="G104" s="2"/>
      <c r="H104" s="174">
        <f>+B81*B82*F82</f>
        <v>12.239999999999998</v>
      </c>
      <c r="I104" s="175">
        <f>+F81*F82</f>
        <v>169.32</v>
      </c>
      <c r="J104" s="176">
        <f>+I104+H104</f>
        <v>181.56</v>
      </c>
      <c r="K104" s="234">
        <v>0.15</v>
      </c>
    </row>
    <row r="105" spans="1:11" ht="18" customHeight="1">
      <c r="A105" s="2"/>
      <c r="B105" s="35"/>
      <c r="C105" s="32"/>
      <c r="E105" s="35"/>
      <c r="F105" s="32"/>
      <c r="G105" s="2"/>
      <c r="H105" s="393" t="s">
        <v>188</v>
      </c>
      <c r="I105" s="394"/>
      <c r="J105" s="395"/>
      <c r="K105" s="2"/>
    </row>
    <row r="106" spans="1:11" ht="18" customHeight="1">
      <c r="A106" s="2"/>
      <c r="B106" s="169" t="s">
        <v>220</v>
      </c>
      <c r="C106" s="63" t="s">
        <v>23</v>
      </c>
      <c r="E106" s="169" t="s">
        <v>220</v>
      </c>
      <c r="F106" s="63" t="s">
        <v>23</v>
      </c>
      <c r="G106" s="2"/>
      <c r="H106" s="170" t="s">
        <v>189</v>
      </c>
      <c r="I106" s="6" t="s">
        <v>39</v>
      </c>
      <c r="J106" s="66" t="s">
        <v>14</v>
      </c>
      <c r="K106" s="2"/>
    </row>
    <row r="107" spans="1:11" ht="18" customHeight="1" thickBot="1">
      <c r="A107" s="1" t="s">
        <v>297</v>
      </c>
      <c r="B107" s="261">
        <v>15</v>
      </c>
      <c r="C107" s="65">
        <f>IF(B107=0,0,ROUNDUP(H104/B107,1))</f>
        <v>0.9</v>
      </c>
      <c r="E107" s="261">
        <v>20</v>
      </c>
      <c r="F107" s="65">
        <f>IF(E107=0,0,ROUNDUP(I104/E107,1))</f>
        <v>8.5</v>
      </c>
      <c r="G107" s="2"/>
      <c r="H107" s="171">
        <f>+H104*K104*H83/1.35</f>
        <v>4.011999999999999</v>
      </c>
      <c r="I107" s="172">
        <f>+I104*K104*H83/1.35</f>
        <v>55.49933333333334</v>
      </c>
      <c r="J107" s="173">
        <f>+I107+H107</f>
        <v>59.51133333333334</v>
      </c>
      <c r="K107" s="2"/>
    </row>
    <row r="108" spans="1:11" ht="18" customHeight="1" thickBot="1">
      <c r="A108" s="37"/>
      <c r="B108" s="36"/>
      <c r="C108" s="162"/>
      <c r="D108" s="37"/>
      <c r="E108" s="36"/>
      <c r="F108" s="162"/>
      <c r="G108" s="37"/>
      <c r="H108" s="37"/>
      <c r="I108" s="37"/>
      <c r="J108" s="37"/>
      <c r="K108" s="37"/>
    </row>
    <row r="109" spans="1:11" ht="9" customHeight="1">
      <c r="A109" s="2"/>
      <c r="B109" s="35"/>
      <c r="C109" s="32"/>
      <c r="D109" s="2"/>
      <c r="E109" s="35"/>
      <c r="F109" s="32"/>
      <c r="G109" s="2"/>
      <c r="H109" s="2"/>
      <c r="I109" s="2"/>
      <c r="J109" s="2"/>
      <c r="K109" s="2"/>
    </row>
    <row r="110" spans="1:11" ht="20.25">
      <c r="A110" s="112" t="s">
        <v>320</v>
      </c>
      <c r="B110" s="35"/>
      <c r="C110" s="32"/>
      <c r="E110" s="35"/>
      <c r="F110" s="32"/>
      <c r="G110" s="396" t="s">
        <v>89</v>
      </c>
      <c r="H110" s="397"/>
      <c r="I110" s="397"/>
      <c r="J110" s="397"/>
      <c r="K110" s="398"/>
    </row>
    <row r="111" spans="1:11" ht="20.25">
      <c r="A111" s="112"/>
      <c r="B111" s="35"/>
      <c r="C111" s="32"/>
      <c r="E111" s="35"/>
      <c r="F111" s="32"/>
      <c r="G111" s="120" t="s">
        <v>190</v>
      </c>
      <c r="H111" s="120"/>
      <c r="I111" s="120"/>
      <c r="J111" s="121"/>
      <c r="K111" s="266">
        <v>2.16</v>
      </c>
    </row>
    <row r="112" spans="1:11" ht="14.25" customHeight="1">
      <c r="A112" s="112"/>
      <c r="B112" s="35"/>
      <c r="C112" s="32"/>
      <c r="E112" s="35"/>
      <c r="F112" s="32"/>
      <c r="G112" s="346" t="s">
        <v>191</v>
      </c>
      <c r="H112" s="341"/>
      <c r="I112" s="341"/>
      <c r="J112" s="342"/>
      <c r="K112" s="336">
        <v>2</v>
      </c>
    </row>
    <row r="113" spans="1:11" ht="15" customHeight="1">
      <c r="A113" s="112"/>
      <c r="B113" s="35"/>
      <c r="C113" s="32"/>
      <c r="E113" s="35"/>
      <c r="F113" s="32"/>
      <c r="G113" s="338"/>
      <c r="H113" s="339"/>
      <c r="I113" s="339"/>
      <c r="J113" s="340"/>
      <c r="K113" s="337"/>
    </row>
    <row r="114" spans="1:11" ht="12.75">
      <c r="A114" s="2"/>
      <c r="B114" s="64" t="s">
        <v>281</v>
      </c>
      <c r="C114" s="63" t="s">
        <v>33</v>
      </c>
      <c r="E114" s="64" t="s">
        <v>330</v>
      </c>
      <c r="F114" s="63" t="s">
        <v>33</v>
      </c>
      <c r="G114" s="52" t="s">
        <v>192</v>
      </c>
      <c r="H114" s="122"/>
      <c r="I114" s="122"/>
      <c r="J114" s="67"/>
      <c r="K114" s="123">
        <f>+K112+K111*2</f>
        <v>6.32</v>
      </c>
    </row>
    <row r="115" spans="1:6" ht="13.5" thickBot="1">
      <c r="A115" s="54" t="s">
        <v>167</v>
      </c>
      <c r="B115" s="261">
        <v>31</v>
      </c>
      <c r="C115" s="49">
        <f>B82*B115*B81</f>
        <v>223.2</v>
      </c>
      <c r="E115" s="62">
        <f>ROUNDUP(ROUNDUP(I125,0)*H125,0)</f>
        <v>498</v>
      </c>
      <c r="F115" s="49">
        <f>+E115*G122</f>
        <v>1195.2</v>
      </c>
    </row>
    <row r="116" spans="2:11" ht="15.75">
      <c r="B116" s="64"/>
      <c r="C116" s="63" t="s">
        <v>23</v>
      </c>
      <c r="E116" s="64"/>
      <c r="F116" s="63" t="s">
        <v>23</v>
      </c>
      <c r="G116" s="335" t="s">
        <v>34</v>
      </c>
      <c r="H116" s="332"/>
      <c r="I116" s="332"/>
      <c r="J116" s="333"/>
      <c r="K116" s="334">
        <f>2.4/K114*60</f>
        <v>22.784810126582276</v>
      </c>
    </row>
    <row r="117" spans="1:11" ht="13.5" thickBot="1">
      <c r="A117" s="61" t="s">
        <v>242</v>
      </c>
      <c r="B117" s="64"/>
      <c r="C117" s="65">
        <f>C115/$K$116</f>
        <v>9.796000000000001</v>
      </c>
      <c r="E117" s="64"/>
      <c r="F117" s="65">
        <f>F115/$K$116</f>
        <v>52.45600000000001</v>
      </c>
      <c r="G117" s="355" t="s">
        <v>193</v>
      </c>
      <c r="H117" s="356"/>
      <c r="I117" s="356"/>
      <c r="J117" s="357"/>
      <c r="K117" s="354"/>
    </row>
    <row r="118" spans="1:6" ht="13.5" thickBot="1">
      <c r="A118" s="2"/>
      <c r="B118" s="64"/>
      <c r="C118" s="32"/>
      <c r="E118" s="64"/>
      <c r="F118" s="32"/>
    </row>
    <row r="119" spans="1:11" ht="15.75">
      <c r="A119" s="2"/>
      <c r="B119" s="62">
        <f>+B84</f>
        <v>80</v>
      </c>
      <c r="C119" s="32" t="s">
        <v>2</v>
      </c>
      <c r="D119" s="2"/>
      <c r="E119" s="62">
        <f>+F84</f>
        <v>1099</v>
      </c>
      <c r="F119" s="32" t="s">
        <v>2</v>
      </c>
      <c r="G119" s="414" t="s">
        <v>298</v>
      </c>
      <c r="H119" s="415"/>
      <c r="I119" s="415"/>
      <c r="J119" s="415"/>
      <c r="K119" s="416"/>
    </row>
    <row r="120" spans="2:11" ht="12.75">
      <c r="B120" s="35"/>
      <c r="C120" s="32"/>
      <c r="E120" s="35"/>
      <c r="F120" s="32"/>
      <c r="G120" s="417" t="s">
        <v>194</v>
      </c>
      <c r="H120" s="419" t="s">
        <v>195</v>
      </c>
      <c r="I120" s="421" t="s">
        <v>196</v>
      </c>
      <c r="J120" s="124"/>
      <c r="K120" s="125"/>
    </row>
    <row r="121" spans="2:11" ht="15.75" customHeight="1">
      <c r="B121" s="35"/>
      <c r="C121" s="32"/>
      <c r="E121" s="35"/>
      <c r="F121" s="32"/>
      <c r="G121" s="418"/>
      <c r="H121" s="420"/>
      <c r="I121" s="422"/>
      <c r="J121" s="347" t="s">
        <v>338</v>
      </c>
      <c r="K121" s="348"/>
    </row>
    <row r="122" spans="2:11" ht="13.5" thickBot="1">
      <c r="B122" s="35"/>
      <c r="C122" s="32"/>
      <c r="E122" s="35"/>
      <c r="F122" s="32"/>
      <c r="G122" s="331">
        <f>+B82</f>
        <v>2.4</v>
      </c>
      <c r="H122" s="175">
        <f>+F83</f>
        <v>2.2</v>
      </c>
      <c r="I122" s="175">
        <f>+F82</f>
        <v>1.7</v>
      </c>
      <c r="J122" s="349">
        <v>0.6</v>
      </c>
      <c r="K122" s="350"/>
    </row>
    <row r="123" spans="2:6" ht="13.5" thickBot="1">
      <c r="B123" s="35"/>
      <c r="C123" s="32"/>
      <c r="E123" s="35"/>
      <c r="F123" s="32"/>
    </row>
    <row r="124" spans="2:11" ht="12.75">
      <c r="B124" s="35"/>
      <c r="C124" s="32"/>
      <c r="E124" s="35"/>
      <c r="F124" s="32"/>
      <c r="H124" s="313" t="s">
        <v>35</v>
      </c>
      <c r="I124" s="351" t="s">
        <v>326</v>
      </c>
      <c r="J124" s="352"/>
      <c r="K124" s="353"/>
    </row>
    <row r="125" spans="2:11" ht="13.5" thickBot="1">
      <c r="B125" s="35"/>
      <c r="C125" s="32"/>
      <c r="E125" s="35"/>
      <c r="F125" s="32"/>
      <c r="H125" s="246">
        <f>ROUNDUP(F81/J122,0)</f>
        <v>166</v>
      </c>
      <c r="I125" s="343">
        <v>3</v>
      </c>
      <c r="J125" s="344"/>
      <c r="K125" s="345"/>
    </row>
    <row r="126" spans="1:11" ht="16.5" customHeight="1" thickBot="1">
      <c r="A126" s="126"/>
      <c r="B126" s="127"/>
      <c r="C126" s="128"/>
      <c r="D126" s="126"/>
      <c r="E126" s="127"/>
      <c r="F126" s="128"/>
      <c r="G126" s="312" t="s">
        <v>279</v>
      </c>
      <c r="H126" s="129">
        <f>+K126/G122</f>
        <v>0.9195113788487282</v>
      </c>
      <c r="I126" s="412" t="s">
        <v>36</v>
      </c>
      <c r="J126" s="413"/>
      <c r="K126" s="242">
        <f>+E119/H125/I125</f>
        <v>2.2068273092369477</v>
      </c>
    </row>
    <row r="127" spans="1:11" ht="12.75">
      <c r="A127" s="2"/>
      <c r="B127" s="35"/>
      <c r="C127" s="32"/>
      <c r="D127" s="2"/>
      <c r="E127" s="35"/>
      <c r="F127" s="32"/>
      <c r="K127" s="2"/>
    </row>
    <row r="128" spans="1:11" ht="20.25">
      <c r="A128" s="112" t="s">
        <v>321</v>
      </c>
      <c r="B128" s="35"/>
      <c r="C128" s="32"/>
      <c r="D128" s="2"/>
      <c r="E128" s="35"/>
      <c r="F128" s="32"/>
      <c r="G128" s="396" t="s">
        <v>53</v>
      </c>
      <c r="H128" s="397"/>
      <c r="I128" s="397"/>
      <c r="J128" s="397"/>
      <c r="K128" s="398"/>
    </row>
    <row r="129" spans="2:9" ht="12.75" customHeight="1">
      <c r="B129" s="408" t="s">
        <v>202</v>
      </c>
      <c r="C129" s="32"/>
      <c r="D129" s="2"/>
      <c r="E129" s="408" t="s">
        <v>202</v>
      </c>
      <c r="F129" s="410" t="s">
        <v>203</v>
      </c>
      <c r="G129" s="130"/>
      <c r="H129" s="131" t="s">
        <v>198</v>
      </c>
      <c r="I129" s="269">
        <v>32</v>
      </c>
    </row>
    <row r="130" spans="1:12" ht="15.75" thickBot="1">
      <c r="A130" s="94"/>
      <c r="B130" s="409"/>
      <c r="C130" s="63" t="s">
        <v>23</v>
      </c>
      <c r="E130" s="409"/>
      <c r="F130" s="411"/>
      <c r="G130" s="132"/>
      <c r="H130" s="131" t="s">
        <v>199</v>
      </c>
      <c r="I130" s="270">
        <v>1.01</v>
      </c>
      <c r="L130" s="18"/>
    </row>
    <row r="131" spans="1:11" ht="15">
      <c r="A131" s="61" t="s">
        <v>109</v>
      </c>
      <c r="B131" s="267">
        <v>0.7</v>
      </c>
      <c r="C131" s="65">
        <f>+B134*B81*B131/60</f>
        <v>0.98</v>
      </c>
      <c r="E131" s="267">
        <v>0.7</v>
      </c>
      <c r="F131" s="65">
        <f>+E131*F115/60</f>
        <v>13.943999999999999</v>
      </c>
      <c r="J131" s="399" t="s">
        <v>200</v>
      </c>
      <c r="K131" s="400"/>
    </row>
    <row r="132" spans="2:11" ht="15" thickBot="1">
      <c r="B132" s="35"/>
      <c r="C132" s="32"/>
      <c r="E132" s="64"/>
      <c r="G132" s="404" t="s">
        <v>303</v>
      </c>
      <c r="H132" s="405"/>
      <c r="I132" s="133">
        <f>POWER(I129/1000,2)*PI()/4*1000*I130</f>
        <v>0.8122901965121768</v>
      </c>
      <c r="J132" s="406">
        <f>+I132*B83/K126</f>
        <v>0.8097771968141411</v>
      </c>
      <c r="K132" s="407"/>
    </row>
    <row r="133" spans="2:6" ht="18.75" customHeight="1" thickBot="1">
      <c r="B133" s="64" t="s">
        <v>110</v>
      </c>
      <c r="C133" s="63" t="s">
        <v>278</v>
      </c>
      <c r="E133" s="64" t="s">
        <v>110</v>
      </c>
      <c r="F133" s="327" t="s">
        <v>299</v>
      </c>
    </row>
    <row r="134" spans="1:11" ht="19.5" customHeight="1" thickBot="1">
      <c r="A134" s="61" t="s">
        <v>37</v>
      </c>
      <c r="B134" s="268">
        <v>28</v>
      </c>
      <c r="C134" s="134">
        <f>ROUND(+C115/$G$122/B134,0)</f>
        <v>3</v>
      </c>
      <c r="E134" s="268">
        <v>42</v>
      </c>
      <c r="F134" s="326">
        <f>+E134/I125*J122</f>
        <v>8.4</v>
      </c>
      <c r="H134" s="363" t="s">
        <v>201</v>
      </c>
      <c r="I134" s="364"/>
      <c r="J134" s="365"/>
      <c r="K134" s="250">
        <f>ROUNDUP(+F81/F134,0)</f>
        <v>12</v>
      </c>
    </row>
    <row r="135" spans="1:6" ht="19.5" customHeight="1">
      <c r="A135" s="2"/>
      <c r="B135" s="35"/>
      <c r="C135" s="32"/>
      <c r="E135" s="35"/>
      <c r="F135" s="32"/>
    </row>
    <row r="136" spans="1:6" ht="19.5" customHeight="1">
      <c r="A136" s="61" t="s">
        <v>282</v>
      </c>
      <c r="B136" s="35"/>
      <c r="C136" s="134">
        <f>ROUND(I132*B134*B82,0)</f>
        <v>55</v>
      </c>
      <c r="E136" s="64"/>
      <c r="F136" s="134">
        <f>ROUND(+J132*F84,0)</f>
        <v>890</v>
      </c>
    </row>
    <row r="137" spans="1:11" ht="13.5" thickBot="1">
      <c r="A137" s="37"/>
      <c r="B137" s="36"/>
      <c r="C137" s="38"/>
      <c r="D137" s="37"/>
      <c r="E137" s="36"/>
      <c r="F137" s="38"/>
      <c r="G137" s="37"/>
      <c r="H137" s="37"/>
      <c r="I137" s="37"/>
      <c r="J137" s="37"/>
      <c r="K137" s="37"/>
    </row>
    <row r="139" spans="1:11" ht="20.25">
      <c r="A139" s="112" t="s">
        <v>331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>
      <c r="B140" s="12" t="s">
        <v>114</v>
      </c>
    </row>
    <row r="141" spans="1:5" ht="12.75" customHeight="1">
      <c r="A141" s="16" t="s">
        <v>9</v>
      </c>
      <c r="B141" t="s">
        <v>204</v>
      </c>
      <c r="E141" s="135" t="s">
        <v>205</v>
      </c>
    </row>
    <row r="142" spans="1:6" ht="12.75">
      <c r="A142" s="31" t="s">
        <v>54</v>
      </c>
      <c r="B142" s="366">
        <f>+C134+K134</f>
        <v>15</v>
      </c>
      <c r="C142" s="366"/>
      <c r="E142" s="136" t="s">
        <v>206</v>
      </c>
      <c r="F142" s="79" t="s">
        <v>30</v>
      </c>
    </row>
    <row r="143" spans="5:6" ht="12.75">
      <c r="E143" s="273">
        <v>0</v>
      </c>
      <c r="F143" s="51">
        <f>+ROUNDUP(E143/60*B142,1)</f>
        <v>0</v>
      </c>
    </row>
    <row r="144" spans="1:13" ht="13.5" thickBot="1">
      <c r="A144" s="37"/>
      <c r="B144" s="37"/>
      <c r="C144" s="37"/>
      <c r="D144" s="37"/>
      <c r="E144" s="164"/>
      <c r="F144" s="164"/>
      <c r="G144" s="37"/>
      <c r="H144" s="37"/>
      <c r="I144" s="37"/>
      <c r="J144" s="37"/>
      <c r="K144" s="37"/>
      <c r="L144" s="37"/>
      <c r="M144" s="37"/>
    </row>
    <row r="145" spans="5:6" ht="12.75">
      <c r="E145" s="163"/>
      <c r="F145" s="163"/>
    </row>
    <row r="146" spans="1:6" ht="20.25">
      <c r="A146" s="112" t="s">
        <v>322</v>
      </c>
      <c r="E146" s="163"/>
      <c r="F146" s="163"/>
    </row>
    <row r="147" spans="2:6" ht="14.25">
      <c r="B147" s="165" t="s">
        <v>5</v>
      </c>
      <c r="C147" s="165" t="s">
        <v>15</v>
      </c>
      <c r="D147" s="165" t="s">
        <v>32</v>
      </c>
      <c r="E147" s="165" t="s">
        <v>23</v>
      </c>
      <c r="F147" s="163"/>
    </row>
    <row r="148" spans="2:6" ht="14.25">
      <c r="B148" s="180">
        <f>(B84+F84)/H83</f>
        <v>399.6610169491525</v>
      </c>
      <c r="C148" s="274">
        <f>H83*0.67</f>
        <v>1.9765000000000001</v>
      </c>
      <c r="D148" s="252">
        <v>110</v>
      </c>
      <c r="E148" s="166">
        <f>+ROUNDUP(B148*C148/D148,1)</f>
        <v>7.199999999999999</v>
      </c>
      <c r="F148" s="167" t="s">
        <v>38</v>
      </c>
    </row>
    <row r="149" spans="1:13" ht="13.5" thickBo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1" ht="12.75">
      <c r="I151" s="371" t="s">
        <v>44</v>
      </c>
    </row>
    <row r="152" spans="1:12" ht="20.25">
      <c r="A152" s="84" t="s">
        <v>323</v>
      </c>
      <c r="I152" s="372"/>
      <c r="J152" s="53"/>
      <c r="L152" s="53"/>
    </row>
    <row r="153" spans="1:12" ht="18">
      <c r="A153" s="137"/>
      <c r="I153" s="372"/>
      <c r="J153" s="53"/>
      <c r="L153" s="53"/>
    </row>
    <row r="154" spans="1:12" ht="15" customHeight="1">
      <c r="A154" s="330" t="s">
        <v>207</v>
      </c>
      <c r="I154" s="372"/>
      <c r="L154" s="53"/>
    </row>
    <row r="155" spans="1:12" ht="15" customHeight="1">
      <c r="A155" s="367" t="s">
        <v>314</v>
      </c>
      <c r="B155" s="368"/>
      <c r="I155" s="372"/>
      <c r="J155" s="53"/>
      <c r="L155" s="53"/>
    </row>
    <row r="156" spans="1:11" ht="15" customHeight="1">
      <c r="A156" s="369" t="s">
        <v>283</v>
      </c>
      <c r="B156" s="370"/>
      <c r="C156" s="138" t="s">
        <v>88</v>
      </c>
      <c r="D156" s="58" t="s">
        <v>6</v>
      </c>
      <c r="E156" s="41" t="s">
        <v>41</v>
      </c>
      <c r="F156" s="41" t="s">
        <v>42</v>
      </c>
      <c r="G156" s="58" t="s">
        <v>43</v>
      </c>
      <c r="H156" s="231" t="s">
        <v>7</v>
      </c>
      <c r="I156" s="373"/>
      <c r="J156" s="232" t="s">
        <v>45</v>
      </c>
      <c r="K156" s="18" t="s">
        <v>284</v>
      </c>
    </row>
    <row r="157" spans="1:11" ht="15">
      <c r="A157" s="379" t="s">
        <v>208</v>
      </c>
      <c r="B157" s="380"/>
      <c r="C157" s="139" t="s">
        <v>40</v>
      </c>
      <c r="D157" s="140">
        <f>+E35*B142</f>
        <v>5</v>
      </c>
      <c r="E157" s="140">
        <f>+E43*B142</f>
        <v>2.5</v>
      </c>
      <c r="F157" s="140">
        <f>+K38/60*B142</f>
        <v>3.75</v>
      </c>
      <c r="G157" s="140">
        <f>(K42-F38)*B142</f>
        <v>14.75</v>
      </c>
      <c r="H157" s="141">
        <f>+F143</f>
        <v>0</v>
      </c>
      <c r="I157" s="140">
        <f>+E62</f>
        <v>74.06666666666666</v>
      </c>
      <c r="J157" s="141">
        <f>+K57</f>
        <v>2.5</v>
      </c>
      <c r="K157" s="140">
        <f>SUM(C157:J157)</f>
        <v>102.56666666666666</v>
      </c>
    </row>
    <row r="158" spans="1:11" ht="15">
      <c r="A158" s="401" t="s">
        <v>209</v>
      </c>
      <c r="B158" s="402"/>
      <c r="C158" s="141">
        <f>(C90+F90)</f>
        <v>25.5</v>
      </c>
      <c r="D158" s="141">
        <f>+(C100+F100)</f>
        <v>139.60000000000002</v>
      </c>
      <c r="E158" s="141">
        <f>(F117+C117)</f>
        <v>62.25200000000001</v>
      </c>
      <c r="F158" s="141">
        <f>+F104+C104+C107+F107</f>
        <v>31.8</v>
      </c>
      <c r="G158" s="141">
        <f>+(C131+F131)</f>
        <v>14.924</v>
      </c>
      <c r="H158" s="142"/>
      <c r="I158" s="141">
        <f>+E148</f>
        <v>7.199999999999999</v>
      </c>
      <c r="J158" s="142"/>
      <c r="K158" s="140">
        <f>SUM(C158:J158)</f>
        <v>281.276</v>
      </c>
    </row>
    <row r="159" spans="1:2" ht="12.75">
      <c r="A159" s="143"/>
      <c r="B159" s="143"/>
    </row>
    <row r="160" spans="1:2" ht="12.75">
      <c r="A160" s="143"/>
      <c r="B160" s="143"/>
    </row>
    <row r="161" spans="1:2" ht="12.75">
      <c r="A161" s="144" t="s">
        <v>82</v>
      </c>
      <c r="B161" s="143"/>
    </row>
    <row r="162" spans="1:2" ht="12.75">
      <c r="A162" s="144" t="s">
        <v>210</v>
      </c>
      <c r="B162" s="143"/>
    </row>
    <row r="163" spans="1:2" ht="12.75">
      <c r="A163" s="143"/>
      <c r="B163" s="143"/>
    </row>
    <row r="164" spans="1:11" ht="15">
      <c r="A164" s="403" t="s">
        <v>211</v>
      </c>
      <c r="B164" s="403"/>
      <c r="C164" s="141">
        <f>+(C90+F90)/C174</f>
        <v>12.75</v>
      </c>
      <c r="D164" s="141">
        <f>+(C100+F100)/C174</f>
        <v>69.80000000000001</v>
      </c>
      <c r="E164" s="141">
        <f>(F117+C117)/C174</f>
        <v>31.126000000000005</v>
      </c>
      <c r="F164" s="141">
        <f>+F158</f>
        <v>31.8</v>
      </c>
      <c r="G164" s="141">
        <f>+(C131+F131)/C174</f>
        <v>7.462</v>
      </c>
      <c r="H164" s="142"/>
      <c r="I164" s="141">
        <f>+I158</f>
        <v>7.199999999999999</v>
      </c>
      <c r="J164" s="142"/>
      <c r="K164" s="140">
        <f>SUM(C164:J164)</f>
        <v>160.138</v>
      </c>
    </row>
    <row r="165" spans="1:11" ht="15.75">
      <c r="A165" s="145" t="s">
        <v>250</v>
      </c>
      <c r="K165" s="146"/>
    </row>
    <row r="166" ht="12.75">
      <c r="K166" s="50"/>
    </row>
    <row r="167" ht="12.75">
      <c r="A167" s="2"/>
    </row>
    <row r="169" spans="1:12" ht="12.75">
      <c r="A169" s="2" t="s">
        <v>212</v>
      </c>
      <c r="B169" s="2"/>
      <c r="C169" s="55">
        <f>(C164)*$C$174</f>
        <v>25.5</v>
      </c>
      <c r="D169" s="55">
        <f>(D157+D164)*$C174</f>
        <v>149.60000000000002</v>
      </c>
      <c r="E169" s="55">
        <f>(E157+E164)*$C174</f>
        <v>67.25200000000001</v>
      </c>
      <c r="F169" s="55">
        <f>(F157+F164)*$C174</f>
        <v>71.1</v>
      </c>
      <c r="G169" s="55">
        <f>(G157+G164)*$C174</f>
        <v>44.424</v>
      </c>
      <c r="H169" s="55">
        <f>(H157)*$C174</f>
        <v>0</v>
      </c>
      <c r="I169" s="55">
        <f>(I157+I164)*$C174</f>
        <v>162.53333333333333</v>
      </c>
      <c r="J169" s="55">
        <f>(J157)*$C174</f>
        <v>5</v>
      </c>
      <c r="K169" s="57">
        <f>SUM(C169:J169)</f>
        <v>525.4093333333333</v>
      </c>
      <c r="L169" s="50" t="s">
        <v>223</v>
      </c>
    </row>
    <row r="170" spans="1:12" ht="14.25">
      <c r="A170" s="2" t="s">
        <v>213</v>
      </c>
      <c r="B170" s="2"/>
      <c r="C170" s="55">
        <f aca="true" t="shared" si="3" ref="C170:J170">+C169/$C$175</f>
        <v>3.1875</v>
      </c>
      <c r="D170" s="55">
        <f t="shared" si="3"/>
        <v>18.700000000000003</v>
      </c>
      <c r="E170" s="55">
        <f t="shared" si="3"/>
        <v>8.406500000000001</v>
      </c>
      <c r="F170" s="55">
        <f t="shared" si="3"/>
        <v>8.8875</v>
      </c>
      <c r="G170" s="55">
        <f t="shared" si="3"/>
        <v>5.553</v>
      </c>
      <c r="H170" s="55">
        <f t="shared" si="3"/>
        <v>0</v>
      </c>
      <c r="I170" s="55">
        <f t="shared" si="3"/>
        <v>20.316666666666666</v>
      </c>
      <c r="J170" s="55">
        <f t="shared" si="3"/>
        <v>0.625</v>
      </c>
      <c r="K170" s="314">
        <f>SUM(C170:J170)</f>
        <v>65.67616666666666</v>
      </c>
      <c r="L170" s="50" t="s">
        <v>224</v>
      </c>
    </row>
    <row r="172" ht="12.75">
      <c r="K172" s="18" t="s">
        <v>10</v>
      </c>
    </row>
    <row r="174" spans="1:11" ht="15.75">
      <c r="A174" s="147" t="s">
        <v>214</v>
      </c>
      <c r="B174" s="78"/>
      <c r="C174" s="271">
        <v>2</v>
      </c>
      <c r="D174" s="78"/>
      <c r="G174" s="148" t="s">
        <v>112</v>
      </c>
      <c r="H174" s="272">
        <v>0.15</v>
      </c>
      <c r="J174" s="148" t="s">
        <v>215</v>
      </c>
      <c r="K174" s="150">
        <f>+K170*H174</f>
        <v>9.851424999999999</v>
      </c>
    </row>
    <row r="175" spans="1:11" ht="15">
      <c r="A175" s="147" t="s">
        <v>58</v>
      </c>
      <c r="B175" s="147"/>
      <c r="C175" s="271">
        <v>8</v>
      </c>
      <c r="D175" s="78" t="s">
        <v>23</v>
      </c>
      <c r="K175" s="18" t="s">
        <v>11</v>
      </c>
    </row>
    <row r="176" spans="10:11" ht="15.75">
      <c r="J176" s="149" t="s">
        <v>251</v>
      </c>
      <c r="K176" s="150">
        <f>+K174+K170</f>
        <v>75.52759166666667</v>
      </c>
    </row>
    <row r="177" ht="12.75">
      <c r="K177" s="18" t="s">
        <v>12</v>
      </c>
    </row>
    <row r="178" spans="10:11" ht="15.75">
      <c r="J178" s="149" t="s">
        <v>216</v>
      </c>
      <c r="K178" s="150">
        <f>+K176*C175/(C175-E22)*E22/C175</f>
        <v>30.16699725461613</v>
      </c>
    </row>
    <row r="179" ht="12.75">
      <c r="K179" s="18" t="s">
        <v>13</v>
      </c>
    </row>
    <row r="180" spans="10:11" ht="15.75">
      <c r="J180" s="149" t="s">
        <v>217</v>
      </c>
      <c r="K180" s="150">
        <f>+K178+K176</f>
        <v>105.6945889212828</v>
      </c>
    </row>
    <row r="181" ht="14.25">
      <c r="I181" s="103"/>
    </row>
    <row r="182" ht="15.75">
      <c r="E182" s="149"/>
    </row>
    <row r="184" ht="16.5" thickBot="1">
      <c r="C184" s="151"/>
    </row>
    <row r="185" spans="2:7" ht="23.25" customHeight="1" thickBot="1" thickTop="1">
      <c r="B185" s="360" t="s">
        <v>87</v>
      </c>
      <c r="C185" s="361"/>
      <c r="D185" s="361"/>
      <c r="E185" s="361"/>
      <c r="F185" s="361"/>
      <c r="G185" s="362"/>
    </row>
    <row r="186" spans="2:11" ht="22.5" customHeight="1" thickBot="1">
      <c r="B186" s="376" t="s">
        <v>253</v>
      </c>
      <c r="C186" s="377"/>
      <c r="D186" s="377"/>
      <c r="E186" s="378"/>
      <c r="F186" s="293" t="s">
        <v>222</v>
      </c>
      <c r="G186" s="387" t="s">
        <v>14</v>
      </c>
      <c r="J186" s="152">
        <f>+F84+B84</f>
        <v>1179</v>
      </c>
      <c r="K186" t="s">
        <v>2</v>
      </c>
    </row>
    <row r="187" spans="2:7" ht="18.75" customHeight="1" thickBot="1">
      <c r="B187" s="290" t="s">
        <v>47</v>
      </c>
      <c r="C187" s="291" t="s">
        <v>111</v>
      </c>
      <c r="D187" s="374" t="s">
        <v>48</v>
      </c>
      <c r="E187" s="375"/>
      <c r="F187" s="292" t="s">
        <v>46</v>
      </c>
      <c r="G187" s="388"/>
    </row>
    <row r="188" spans="2:11" ht="21" customHeight="1" thickBot="1">
      <c r="B188" s="155">
        <f>+K170</f>
        <v>65.67616666666666</v>
      </c>
      <c r="C188" s="81">
        <f>+K174</f>
        <v>9.851424999999999</v>
      </c>
      <c r="D188" s="389">
        <f>+K176</f>
        <v>75.52759166666667</v>
      </c>
      <c r="E188" s="390"/>
      <c r="F188" s="156">
        <f>+K178</f>
        <v>30.16699725461613</v>
      </c>
      <c r="G188" s="157">
        <f>+D188+F188</f>
        <v>105.6945889212828</v>
      </c>
      <c r="H188" s="358" t="s">
        <v>49</v>
      </c>
      <c r="I188" s="359"/>
      <c r="J188" s="158">
        <f>+J186/G188</f>
        <v>11.154781072833096</v>
      </c>
      <c r="K188" t="s">
        <v>115</v>
      </c>
    </row>
    <row r="189" spans="2:7" ht="21" customHeight="1" thickTop="1">
      <c r="B189" s="159">
        <f>+B188/$G$188</f>
        <v>0.6213768115942028</v>
      </c>
      <c r="C189" s="159">
        <f>+C188/$G$188</f>
        <v>0.09320652173913042</v>
      </c>
      <c r="D189" s="381">
        <f>+C189+B189</f>
        <v>0.7145833333333332</v>
      </c>
      <c r="E189" s="382"/>
      <c r="F189" s="159">
        <f>+F188/$G$188</f>
        <v>0.28541666666666665</v>
      </c>
      <c r="G189" s="160">
        <f>+F189+D189</f>
        <v>0.9999999999999999</v>
      </c>
    </row>
    <row r="190" spans="1:6" ht="12.75">
      <c r="A190" s="13"/>
      <c r="B190" s="13"/>
      <c r="F190" s="2"/>
    </row>
    <row r="191" ht="12.75">
      <c r="I191" s="2"/>
    </row>
    <row r="192" spans="1:9" ht="15.75">
      <c r="A192" s="17"/>
      <c r="B192" s="17"/>
      <c r="I192" s="2"/>
    </row>
  </sheetData>
  <mergeCells count="79">
    <mergeCell ref="C10:C11"/>
    <mergeCell ref="D10:D11"/>
    <mergeCell ref="E10:E11"/>
    <mergeCell ref="H10:K11"/>
    <mergeCell ref="C28:C29"/>
    <mergeCell ref="D28:D29"/>
    <mergeCell ref="E28:E29"/>
    <mergeCell ref="C37:C38"/>
    <mergeCell ref="C48:C49"/>
    <mergeCell ref="D48:D49"/>
    <mergeCell ref="E48:E49"/>
    <mergeCell ref="D37:D38"/>
    <mergeCell ref="E37:E38"/>
    <mergeCell ref="I28:I29"/>
    <mergeCell ref="J28:J29"/>
    <mergeCell ref="K28:K29"/>
    <mergeCell ref="J48:J49"/>
    <mergeCell ref="K48:K49"/>
    <mergeCell ref="G50:H50"/>
    <mergeCell ref="G51:H51"/>
    <mergeCell ref="I48:I49"/>
    <mergeCell ref="G52:H52"/>
    <mergeCell ref="G55:H55"/>
    <mergeCell ref="B78:C78"/>
    <mergeCell ref="E78:F78"/>
    <mergeCell ref="B79:C79"/>
    <mergeCell ref="E79:F79"/>
    <mergeCell ref="F87:F89"/>
    <mergeCell ref="G92:K92"/>
    <mergeCell ref="I93:I94"/>
    <mergeCell ref="J93:J94"/>
    <mergeCell ref="K93:K94"/>
    <mergeCell ref="I126:J126"/>
    <mergeCell ref="B96:B97"/>
    <mergeCell ref="E96:E97"/>
    <mergeCell ref="G96:H96"/>
    <mergeCell ref="G97:H97"/>
    <mergeCell ref="G119:K119"/>
    <mergeCell ref="G120:G121"/>
    <mergeCell ref="H120:H121"/>
    <mergeCell ref="I120:I121"/>
    <mergeCell ref="J131:K131"/>
    <mergeCell ref="G128:K128"/>
    <mergeCell ref="A158:B158"/>
    <mergeCell ref="A164:B164"/>
    <mergeCell ref="G132:H132"/>
    <mergeCell ref="J132:K132"/>
    <mergeCell ref="B129:B130"/>
    <mergeCell ref="E129:E130"/>
    <mergeCell ref="F129:F130"/>
    <mergeCell ref="D189:E189"/>
    <mergeCell ref="G53:H53"/>
    <mergeCell ref="G54:H54"/>
    <mergeCell ref="G186:G187"/>
    <mergeCell ref="D188:E188"/>
    <mergeCell ref="G95:H95"/>
    <mergeCell ref="H102:J102"/>
    <mergeCell ref="H105:J105"/>
    <mergeCell ref="G101:K101"/>
    <mergeCell ref="G110:K110"/>
    <mergeCell ref="H188:I188"/>
    <mergeCell ref="B185:G185"/>
    <mergeCell ref="H134:J134"/>
    <mergeCell ref="B142:C142"/>
    <mergeCell ref="A155:B155"/>
    <mergeCell ref="A156:B156"/>
    <mergeCell ref="I151:I156"/>
    <mergeCell ref="D187:E187"/>
    <mergeCell ref="B186:E186"/>
    <mergeCell ref="A157:B157"/>
    <mergeCell ref="G112:J113"/>
    <mergeCell ref="K112:K113"/>
    <mergeCell ref="G116:J116"/>
    <mergeCell ref="K116:K117"/>
    <mergeCell ref="G117:J117"/>
    <mergeCell ref="J121:K121"/>
    <mergeCell ref="J122:K122"/>
    <mergeCell ref="I124:K124"/>
    <mergeCell ref="I125:K125"/>
  </mergeCells>
  <printOptions/>
  <pageMargins left="0.75" right="0.75" top="1" bottom="1" header="0.5" footer="0.5"/>
  <pageSetup cellComments="asDisplayed" fitToHeight="4" fitToWidth="2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2" manualBreakCount="2">
    <brk id="108" max="11" man="1"/>
    <brk id="149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2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6.28125" style="0" customWidth="1"/>
    <col min="2" max="2" width="14.7109375" style="0" customWidth="1"/>
    <col min="3" max="3" width="14.8515625" style="0" customWidth="1"/>
    <col min="4" max="4" width="12.7109375" style="0" customWidth="1"/>
    <col min="5" max="5" width="12.421875" style="0" customWidth="1"/>
    <col min="6" max="6" width="18.421875" style="0" customWidth="1"/>
    <col min="7" max="7" width="13.140625" style="0" customWidth="1"/>
    <col min="8" max="8" width="17.00390625" style="0" customWidth="1"/>
    <col min="9" max="9" width="12.140625" style="0" customWidth="1"/>
    <col min="10" max="10" width="11.140625" style="0" customWidth="1"/>
    <col min="11" max="11" width="13.28125" style="0" customWidth="1"/>
    <col min="12" max="16384" width="11.421875" style="0" customWidth="1"/>
  </cols>
  <sheetData>
    <row r="2" ht="36.75">
      <c r="A2" s="11" t="s">
        <v>121</v>
      </c>
    </row>
    <row r="3" spans="1:2" ht="36.75">
      <c r="A3" s="11" t="s">
        <v>122</v>
      </c>
      <c r="B3" s="11"/>
    </row>
    <row r="4" spans="1:11" ht="32.25" customHeight="1" thickBot="1">
      <c r="A4" s="181"/>
      <c r="B4" s="181"/>
      <c r="C4" s="182"/>
      <c r="D4" s="182"/>
      <c r="E4" s="182"/>
      <c r="F4" s="182"/>
      <c r="G4" s="182"/>
      <c r="H4" s="245"/>
      <c r="I4" s="244" t="s">
        <v>339</v>
      </c>
      <c r="J4" s="182"/>
      <c r="K4" s="182"/>
    </row>
    <row r="5" ht="13.5" thickTop="1"/>
    <row r="6" spans="1:2" ht="22.5" customHeight="1">
      <c r="A6" s="83" t="s">
        <v>123</v>
      </c>
      <c r="B6" s="84"/>
    </row>
    <row r="7" spans="1:2" ht="9.75" customHeight="1" thickBot="1">
      <c r="A7" s="84"/>
      <c r="B7" s="84"/>
    </row>
    <row r="8" spans="1:11" ht="18" customHeight="1">
      <c r="A8" s="84"/>
      <c r="B8" s="84"/>
      <c r="C8" s="431" t="s">
        <v>97</v>
      </c>
      <c r="D8" s="433" t="s">
        <v>124</v>
      </c>
      <c r="E8" s="435" t="s">
        <v>98</v>
      </c>
      <c r="H8" s="437" t="s">
        <v>8</v>
      </c>
      <c r="I8" s="438"/>
      <c r="J8" s="438"/>
      <c r="K8" s="439"/>
    </row>
    <row r="9" spans="1:11" ht="11.25" customHeight="1" thickBot="1">
      <c r="A9" s="84"/>
      <c r="B9" s="84"/>
      <c r="C9" s="432"/>
      <c r="D9" s="434"/>
      <c r="E9" s="436"/>
      <c r="H9" s="440"/>
      <c r="I9" s="441"/>
      <c r="J9" s="441"/>
      <c r="K9" s="442"/>
    </row>
    <row r="10" spans="1:11" ht="15" customHeight="1">
      <c r="A10" s="85" t="s">
        <v>90</v>
      </c>
      <c r="B10" s="85"/>
      <c r="C10" s="252">
        <v>2</v>
      </c>
      <c r="D10" s="252">
        <v>10</v>
      </c>
      <c r="E10" s="86">
        <f>+D10*C10</f>
        <v>20</v>
      </c>
      <c r="H10" s="90"/>
      <c r="I10" s="88"/>
      <c r="J10" s="88"/>
      <c r="K10" s="89"/>
    </row>
    <row r="11" spans="1:11" ht="15" customHeight="1">
      <c r="A11" s="85" t="s">
        <v>100</v>
      </c>
      <c r="B11" s="85"/>
      <c r="C11" s="252">
        <v>2</v>
      </c>
      <c r="D11" s="252">
        <v>5</v>
      </c>
      <c r="E11" s="86">
        <f>+D11*C11</f>
        <v>10</v>
      </c>
      <c r="H11" s="90"/>
      <c r="I11" s="91"/>
      <c r="J11" s="91"/>
      <c r="K11" s="92"/>
    </row>
    <row r="12" spans="1:11" ht="15" customHeight="1">
      <c r="A12" s="85" t="s">
        <v>101</v>
      </c>
      <c r="B12" s="85"/>
      <c r="C12" s="252"/>
      <c r="D12" s="252"/>
      <c r="E12" s="86">
        <f aca="true" t="shared" si="0" ref="E12:E18">+D12*C12</f>
        <v>0</v>
      </c>
      <c r="F12" s="15"/>
      <c r="H12" s="90"/>
      <c r="I12" s="91"/>
      <c r="J12" s="91"/>
      <c r="K12" s="92"/>
    </row>
    <row r="13" spans="1:11" ht="15" customHeight="1">
      <c r="A13" s="85" t="s">
        <v>91</v>
      </c>
      <c r="B13" s="85"/>
      <c r="C13" s="252">
        <v>4</v>
      </c>
      <c r="D13" s="252">
        <v>10</v>
      </c>
      <c r="E13" s="86">
        <f t="shared" si="0"/>
        <v>40</v>
      </c>
      <c r="H13" s="90"/>
      <c r="I13" s="91"/>
      <c r="J13" s="91"/>
      <c r="K13" s="92"/>
    </row>
    <row r="14" spans="1:11" ht="15" customHeight="1">
      <c r="A14" s="85" t="s">
        <v>92</v>
      </c>
      <c r="B14" s="85"/>
      <c r="C14" s="252">
        <v>1</v>
      </c>
      <c r="D14" s="252">
        <v>15</v>
      </c>
      <c r="E14" s="86">
        <f t="shared" si="0"/>
        <v>15</v>
      </c>
      <c r="H14" s="90"/>
      <c r="I14" s="91"/>
      <c r="J14" s="91"/>
      <c r="K14" s="92"/>
    </row>
    <row r="15" spans="1:11" ht="15" customHeight="1">
      <c r="A15" s="85" t="s">
        <v>93</v>
      </c>
      <c r="B15" s="85"/>
      <c r="C15" s="252">
        <v>1</v>
      </c>
      <c r="D15" s="252">
        <v>10</v>
      </c>
      <c r="E15" s="86">
        <f t="shared" si="0"/>
        <v>10</v>
      </c>
      <c r="H15" s="90"/>
      <c r="I15" s="91"/>
      <c r="J15" s="91"/>
      <c r="K15" s="92"/>
    </row>
    <row r="16" spans="1:11" ht="15" customHeight="1">
      <c r="A16" s="85" t="s">
        <v>102</v>
      </c>
      <c r="B16" s="85"/>
      <c r="C16" s="252">
        <v>1</v>
      </c>
      <c r="D16" s="252">
        <v>12</v>
      </c>
      <c r="E16" s="86">
        <f t="shared" si="0"/>
        <v>12</v>
      </c>
      <c r="H16" s="90"/>
      <c r="I16" s="91"/>
      <c r="J16" s="91"/>
      <c r="K16" s="92"/>
    </row>
    <row r="17" spans="1:11" ht="15" customHeight="1">
      <c r="A17" s="85" t="s">
        <v>1</v>
      </c>
      <c r="B17" s="85"/>
      <c r="C17" s="252">
        <v>1</v>
      </c>
      <c r="D17" s="252">
        <v>30</v>
      </c>
      <c r="E17" s="86">
        <f t="shared" si="0"/>
        <v>30</v>
      </c>
      <c r="H17" s="90"/>
      <c r="I17" s="91"/>
      <c r="J17" s="91"/>
      <c r="K17" s="92"/>
    </row>
    <row r="18" spans="1:11" ht="15" customHeight="1" thickBot="1">
      <c r="A18" s="275"/>
      <c r="B18" s="275"/>
      <c r="C18" s="252"/>
      <c r="D18" s="252"/>
      <c r="E18" s="93">
        <f t="shared" si="0"/>
        <v>0</v>
      </c>
      <c r="H18" s="90"/>
      <c r="I18" s="91"/>
      <c r="J18" s="91"/>
      <c r="K18" s="92"/>
    </row>
    <row r="19" spans="1:11" ht="15.75" thickBot="1">
      <c r="A19" s="94"/>
      <c r="B19" s="94"/>
      <c r="C19" s="94"/>
      <c r="D19" s="94"/>
      <c r="E19" s="95">
        <f>SUM(E10:E18)</f>
        <v>137</v>
      </c>
      <c r="F19" s="60" t="s">
        <v>16</v>
      </c>
      <c r="H19" s="96"/>
      <c r="I19" s="97"/>
      <c r="J19" s="97"/>
      <c r="K19" s="98"/>
    </row>
    <row r="20" spans="1:6" ht="14.25">
      <c r="A20" s="94"/>
      <c r="B20" s="94"/>
      <c r="C20" s="94"/>
      <c r="D20" s="94"/>
      <c r="E20" s="99">
        <f>+E19/60</f>
        <v>2.283333333333333</v>
      </c>
      <c r="F20" s="60" t="s">
        <v>22</v>
      </c>
    </row>
    <row r="21" spans="1:5" ht="14.25">
      <c r="A21" s="94"/>
      <c r="B21" s="94"/>
      <c r="C21" s="94"/>
      <c r="D21" s="94"/>
      <c r="E21" s="94"/>
    </row>
    <row r="22" spans="1:5" ht="14.25">
      <c r="A22" s="94"/>
      <c r="B22" s="94"/>
      <c r="C22" s="94"/>
      <c r="D22" s="94"/>
      <c r="E22" s="94"/>
    </row>
    <row r="23" spans="1:11" ht="15" thickBot="1">
      <c r="A23" s="100"/>
      <c r="B23" s="100"/>
      <c r="C23" s="100"/>
      <c r="D23" s="100"/>
      <c r="E23" s="100"/>
      <c r="F23" s="37"/>
      <c r="G23" s="37"/>
      <c r="H23" s="37"/>
      <c r="I23" s="37"/>
      <c r="J23" s="37"/>
      <c r="K23" s="37"/>
    </row>
    <row r="24" spans="1:4" ht="12.75">
      <c r="A24" s="2"/>
      <c r="B24" s="2"/>
      <c r="C24" s="2"/>
      <c r="D24" s="2"/>
    </row>
    <row r="25" spans="1:5" ht="23.25">
      <c r="A25" s="83" t="s">
        <v>218</v>
      </c>
      <c r="B25" s="84"/>
      <c r="C25" s="2"/>
      <c r="D25" s="2"/>
      <c r="E25" s="2"/>
    </row>
    <row r="26" spans="1:5" ht="21" thickBot="1">
      <c r="A26" s="84"/>
      <c r="B26" s="84"/>
      <c r="C26" s="2"/>
      <c r="D26" s="2"/>
      <c r="E26" s="2"/>
    </row>
    <row r="27" spans="1:11" ht="20.25" customHeight="1">
      <c r="A27" s="104" t="s">
        <v>25</v>
      </c>
      <c r="C27" s="431" t="s">
        <v>97</v>
      </c>
      <c r="D27" s="433" t="s">
        <v>124</v>
      </c>
      <c r="E27" s="435" t="s">
        <v>98</v>
      </c>
      <c r="G27" s="283" t="s">
        <v>120</v>
      </c>
      <c r="H27" s="84"/>
      <c r="I27" s="431" t="s">
        <v>97</v>
      </c>
      <c r="J27" s="433" t="s">
        <v>124</v>
      </c>
      <c r="K27" s="435" t="s">
        <v>98</v>
      </c>
    </row>
    <row r="28" spans="1:11" ht="18.75" thickBot="1">
      <c r="A28" s="104" t="s">
        <v>6</v>
      </c>
      <c r="C28" s="432"/>
      <c r="D28" s="434"/>
      <c r="E28" s="436"/>
      <c r="G28" s="283" t="s">
        <v>43</v>
      </c>
      <c r="H28" s="101"/>
      <c r="I28" s="432"/>
      <c r="J28" s="434"/>
      <c r="K28" s="436"/>
    </row>
    <row r="29" spans="1:12" ht="14.25">
      <c r="A29" s="85" t="s">
        <v>127</v>
      </c>
      <c r="B29" s="60"/>
      <c r="C29" s="252">
        <v>1</v>
      </c>
      <c r="D29" s="252">
        <v>10</v>
      </c>
      <c r="E29" s="86">
        <f>+D29*C29</f>
        <v>10</v>
      </c>
      <c r="G29" s="251" t="s">
        <v>94</v>
      </c>
      <c r="H29" s="85"/>
      <c r="I29" s="252">
        <v>1</v>
      </c>
      <c r="J29" s="252">
        <v>5</v>
      </c>
      <c r="K29" s="86">
        <f aca="true" t="shared" si="1" ref="K29:K35">+J29*I29</f>
        <v>5</v>
      </c>
      <c r="L29" s="60"/>
    </row>
    <row r="30" spans="1:12" ht="14.25">
      <c r="A30" s="85" t="s">
        <v>128</v>
      </c>
      <c r="B30" s="60"/>
      <c r="C30" s="252"/>
      <c r="D30" s="252"/>
      <c r="E30" s="86">
        <f>+D30*C30</f>
        <v>0</v>
      </c>
      <c r="G30" s="251" t="s">
        <v>309</v>
      </c>
      <c r="H30" s="85"/>
      <c r="I30" s="252">
        <v>1</v>
      </c>
      <c r="J30" s="252">
        <v>6</v>
      </c>
      <c r="K30" s="86">
        <f t="shared" si="1"/>
        <v>6</v>
      </c>
      <c r="L30" s="60"/>
    </row>
    <row r="31" spans="1:12" ht="14.25">
      <c r="A31" s="85" t="s">
        <v>312</v>
      </c>
      <c r="C31" s="252">
        <v>1</v>
      </c>
      <c r="D31" s="252">
        <v>5</v>
      </c>
      <c r="E31" s="86">
        <f>+D31*C31</f>
        <v>5</v>
      </c>
      <c r="G31" s="251" t="s">
        <v>104</v>
      </c>
      <c r="H31" s="85"/>
      <c r="I31" s="252">
        <v>1</v>
      </c>
      <c r="J31" s="252">
        <v>8</v>
      </c>
      <c r="K31" s="86">
        <f t="shared" si="1"/>
        <v>8</v>
      </c>
      <c r="L31" s="60"/>
    </row>
    <row r="32" spans="1:11" ht="15" thickBot="1">
      <c r="A32" s="255"/>
      <c r="B32" s="256"/>
      <c r="C32" s="252"/>
      <c r="D32" s="252"/>
      <c r="E32" s="86">
        <f>+D32*C32</f>
        <v>0</v>
      </c>
      <c r="G32" s="251" t="s">
        <v>131</v>
      </c>
      <c r="H32" s="85"/>
      <c r="I32" s="252">
        <v>1</v>
      </c>
      <c r="J32" s="252">
        <v>5</v>
      </c>
      <c r="K32" s="86">
        <f t="shared" si="1"/>
        <v>5</v>
      </c>
    </row>
    <row r="33" spans="1:11" ht="15" thickBot="1">
      <c r="A33" s="105"/>
      <c r="B33" s="60"/>
      <c r="C33" s="94"/>
      <c r="D33" s="103" t="s">
        <v>125</v>
      </c>
      <c r="E33" s="95">
        <f>SUM(E29:E32)</f>
        <v>15</v>
      </c>
      <c r="G33" s="251" t="s">
        <v>132</v>
      </c>
      <c r="H33" s="85"/>
      <c r="I33" s="252"/>
      <c r="J33" s="252"/>
      <c r="K33" s="86">
        <f t="shared" si="1"/>
        <v>0</v>
      </c>
    </row>
    <row r="34" spans="1:11" ht="14.25">
      <c r="A34" s="60"/>
      <c r="B34" s="60"/>
      <c r="C34" s="60"/>
      <c r="D34" s="103" t="s">
        <v>126</v>
      </c>
      <c r="E34" s="99">
        <f>+E33/60</f>
        <v>0.25</v>
      </c>
      <c r="G34" s="251" t="s">
        <v>103</v>
      </c>
      <c r="H34" s="85"/>
      <c r="I34" s="252">
        <v>1</v>
      </c>
      <c r="J34" s="252">
        <v>10</v>
      </c>
      <c r="K34" s="86">
        <f t="shared" si="1"/>
        <v>10</v>
      </c>
    </row>
    <row r="35" spans="7:11" ht="15.75" customHeight="1" thickBot="1">
      <c r="G35" s="251" t="s">
        <v>133</v>
      </c>
      <c r="H35" s="85"/>
      <c r="I35" s="252">
        <v>1</v>
      </c>
      <c r="J35" s="252">
        <v>5</v>
      </c>
      <c r="K35" s="86">
        <f t="shared" si="1"/>
        <v>5</v>
      </c>
    </row>
    <row r="36" spans="3:11" ht="14.25" customHeight="1">
      <c r="C36" s="431" t="s">
        <v>97</v>
      </c>
      <c r="D36" s="433" t="s">
        <v>124</v>
      </c>
      <c r="E36" s="435" t="s">
        <v>98</v>
      </c>
      <c r="F36" s="60"/>
      <c r="G36" s="251" t="s">
        <v>134</v>
      </c>
      <c r="H36" s="85"/>
      <c r="I36" s="252">
        <v>1</v>
      </c>
      <c r="J36" s="252">
        <v>5</v>
      </c>
      <c r="K36" s="86">
        <f>+J36*I36</f>
        <v>5</v>
      </c>
    </row>
    <row r="37" spans="1:12" ht="18.75" thickBot="1">
      <c r="A37" s="102" t="s">
        <v>24</v>
      </c>
      <c r="B37" s="2"/>
      <c r="C37" s="432"/>
      <c r="D37" s="434"/>
      <c r="E37" s="436"/>
      <c r="G37" s="251" t="s">
        <v>136</v>
      </c>
      <c r="H37" s="85"/>
      <c r="I37" s="252">
        <v>1</v>
      </c>
      <c r="J37" s="252">
        <v>15</v>
      </c>
      <c r="K37" s="86">
        <f>+J37*I37</f>
        <v>15</v>
      </c>
      <c r="L37" s="60"/>
    </row>
    <row r="38" spans="1:12" ht="14.25">
      <c r="A38" s="85" t="s">
        <v>311</v>
      </c>
      <c r="B38" s="60"/>
      <c r="C38" s="252">
        <v>1</v>
      </c>
      <c r="D38" s="252">
        <v>5</v>
      </c>
      <c r="E38" s="86">
        <f>+D38*C38</f>
        <v>5</v>
      </c>
      <c r="G38" s="282"/>
      <c r="H38" s="253"/>
      <c r="I38" s="252"/>
      <c r="J38" s="252"/>
      <c r="K38" s="86">
        <f>+J38*I38</f>
        <v>0</v>
      </c>
      <c r="L38" s="60"/>
    </row>
    <row r="39" spans="1:12" ht="15" thickBot="1">
      <c r="A39" s="85" t="s">
        <v>310</v>
      </c>
      <c r="B39" s="60"/>
      <c r="C39" s="252">
        <v>1</v>
      </c>
      <c r="D39" s="252">
        <v>5</v>
      </c>
      <c r="E39" s="86">
        <f>+D39*C39</f>
        <v>5</v>
      </c>
      <c r="F39" s="60"/>
      <c r="G39" s="282"/>
      <c r="H39" s="253"/>
      <c r="I39" s="252"/>
      <c r="J39" s="252"/>
      <c r="K39" s="86">
        <f>+J39*I39</f>
        <v>0</v>
      </c>
      <c r="L39" s="60"/>
    </row>
    <row r="40" spans="1:11" ht="15" thickBot="1">
      <c r="A40" s="255"/>
      <c r="B40" s="256"/>
      <c r="C40" s="252"/>
      <c r="D40" s="252"/>
      <c r="E40" s="86">
        <f>+D40*C40</f>
        <v>0</v>
      </c>
      <c r="G40" s="105"/>
      <c r="H40" s="105"/>
      <c r="I40" s="94"/>
      <c r="J40" s="103" t="s">
        <v>130</v>
      </c>
      <c r="K40" s="95">
        <f>SUM(K29:K39)</f>
        <v>59</v>
      </c>
    </row>
    <row r="41" spans="1:11" ht="15" thickBot="1">
      <c r="A41" s="60"/>
      <c r="B41" s="60"/>
      <c r="C41" s="60"/>
      <c r="D41" s="103" t="s">
        <v>125</v>
      </c>
      <c r="E41" s="95">
        <f>SUM(E38:E40)</f>
        <v>10</v>
      </c>
      <c r="G41" s="105"/>
      <c r="H41" s="105"/>
      <c r="I41" s="94"/>
      <c r="J41" s="103" t="s">
        <v>95</v>
      </c>
      <c r="K41" s="99">
        <f>+K40/60</f>
        <v>0.9833333333333333</v>
      </c>
    </row>
    <row r="42" spans="1:5" ht="14.25">
      <c r="A42" s="60"/>
      <c r="B42" s="60"/>
      <c r="C42" s="60"/>
      <c r="D42" s="103" t="s">
        <v>126</v>
      </c>
      <c r="E42" s="99">
        <f>+E41/60</f>
        <v>0.16666666666666666</v>
      </c>
    </row>
    <row r="43" spans="1:11" ht="13.5" thickBo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5" ht="23.25">
      <c r="A45" s="83" t="s">
        <v>105</v>
      </c>
    </row>
    <row r="47" ht="18.75" thickBot="1">
      <c r="A47" s="106" t="s">
        <v>145</v>
      </c>
    </row>
    <row r="48" spans="1:11" ht="18" customHeight="1">
      <c r="A48" s="106" t="s">
        <v>146</v>
      </c>
      <c r="C48" s="431" t="s">
        <v>97</v>
      </c>
      <c r="D48" s="433" t="s">
        <v>124</v>
      </c>
      <c r="E48" s="435" t="s">
        <v>98</v>
      </c>
      <c r="G48" s="104" t="s">
        <v>143</v>
      </c>
      <c r="I48" s="431" t="s">
        <v>97</v>
      </c>
      <c r="J48" s="433" t="s">
        <v>124</v>
      </c>
      <c r="K48" s="435" t="s">
        <v>98</v>
      </c>
    </row>
    <row r="49" spans="1:11" ht="18.75" thickBot="1">
      <c r="A49" s="107"/>
      <c r="B49" s="108"/>
      <c r="C49" s="432"/>
      <c r="D49" s="434"/>
      <c r="E49" s="436"/>
      <c r="G49" s="104" t="s">
        <v>144</v>
      </c>
      <c r="I49" s="432"/>
      <c r="J49" s="434"/>
      <c r="K49" s="436"/>
    </row>
    <row r="50" spans="1:12" ht="12.75" customHeight="1">
      <c r="A50" s="85" t="s">
        <v>219</v>
      </c>
      <c r="C50" s="252">
        <v>2</v>
      </c>
      <c r="D50" s="252">
        <v>30</v>
      </c>
      <c r="E50" s="86">
        <f aca="true" t="shared" si="2" ref="E50:E60">+D50*C50</f>
        <v>60</v>
      </c>
      <c r="F50" s="60"/>
      <c r="G50" s="429" t="s">
        <v>135</v>
      </c>
      <c r="H50" s="430"/>
      <c r="I50" s="258">
        <v>2</v>
      </c>
      <c r="J50" s="252">
        <v>20</v>
      </c>
      <c r="K50" s="86">
        <f aca="true" t="shared" si="3" ref="K50:K55">+J50*I50</f>
        <v>40</v>
      </c>
      <c r="L50" s="60"/>
    </row>
    <row r="51" spans="1:12" ht="14.25">
      <c r="A51" s="85" t="s">
        <v>106</v>
      </c>
      <c r="C51" s="252">
        <v>3</v>
      </c>
      <c r="D51" s="252">
        <f>6*60</f>
        <v>360</v>
      </c>
      <c r="E51" s="86">
        <f t="shared" si="2"/>
        <v>1080</v>
      </c>
      <c r="F51" s="60"/>
      <c r="G51" s="429" t="s">
        <v>26</v>
      </c>
      <c r="H51" s="430"/>
      <c r="I51" s="258">
        <v>1</v>
      </c>
      <c r="J51" s="252">
        <v>30</v>
      </c>
      <c r="K51" s="86">
        <f t="shared" si="3"/>
        <v>30</v>
      </c>
      <c r="L51" s="60"/>
    </row>
    <row r="52" spans="1:12" ht="14.25">
      <c r="A52" s="85" t="s">
        <v>96</v>
      </c>
      <c r="C52" s="252">
        <v>3</v>
      </c>
      <c r="D52" s="252">
        <f>6*60</f>
        <v>360</v>
      </c>
      <c r="E52" s="86">
        <f t="shared" si="2"/>
        <v>1080</v>
      </c>
      <c r="F52" s="60"/>
      <c r="G52" s="429" t="s">
        <v>107</v>
      </c>
      <c r="H52" s="430"/>
      <c r="I52" s="252">
        <v>1</v>
      </c>
      <c r="J52" s="252">
        <v>30</v>
      </c>
      <c r="K52" s="86">
        <f t="shared" si="3"/>
        <v>30</v>
      </c>
      <c r="L52" s="60"/>
    </row>
    <row r="53" spans="1:12" ht="14.25">
      <c r="A53" s="85" t="s">
        <v>137</v>
      </c>
      <c r="C53" s="252">
        <v>3</v>
      </c>
      <c r="D53" s="252">
        <f>6*60</f>
        <v>360</v>
      </c>
      <c r="E53" s="86">
        <f t="shared" si="2"/>
        <v>1080</v>
      </c>
      <c r="F53" s="60"/>
      <c r="G53" s="383" t="s">
        <v>108</v>
      </c>
      <c r="H53" s="384"/>
      <c r="I53" s="252">
        <v>1</v>
      </c>
      <c r="J53" s="252">
        <v>10</v>
      </c>
      <c r="K53" s="86">
        <f>+J53*I53</f>
        <v>10</v>
      </c>
      <c r="L53" s="60"/>
    </row>
    <row r="54" spans="1:11" ht="14.25">
      <c r="A54" s="85" t="s">
        <v>313</v>
      </c>
      <c r="C54" s="252">
        <v>2</v>
      </c>
      <c r="D54" s="252">
        <f>5*60</f>
        <v>300</v>
      </c>
      <c r="E54" s="86">
        <f t="shared" si="2"/>
        <v>600</v>
      </c>
      <c r="F54" s="60"/>
      <c r="G54" s="385"/>
      <c r="H54" s="386"/>
      <c r="I54" s="258"/>
      <c r="J54" s="252"/>
      <c r="K54" s="93">
        <f>+J54*I54</f>
        <v>0</v>
      </c>
    </row>
    <row r="55" spans="1:11" ht="15" thickBot="1">
      <c r="A55" s="85" t="s">
        <v>138</v>
      </c>
      <c r="C55" s="252">
        <v>2</v>
      </c>
      <c r="D55" s="252">
        <f>60*3</f>
        <v>180</v>
      </c>
      <c r="E55" s="86">
        <f t="shared" si="2"/>
        <v>360</v>
      </c>
      <c r="F55" s="60"/>
      <c r="G55" s="385"/>
      <c r="H55" s="386"/>
      <c r="I55" s="258"/>
      <c r="J55" s="252"/>
      <c r="K55" s="93">
        <f t="shared" si="3"/>
        <v>0</v>
      </c>
    </row>
    <row r="56" spans="1:11" ht="15" thickBot="1">
      <c r="A56" s="85" t="s">
        <v>139</v>
      </c>
      <c r="C56" s="252">
        <v>2</v>
      </c>
      <c r="D56" s="252">
        <v>20</v>
      </c>
      <c r="E56" s="86">
        <f t="shared" si="2"/>
        <v>40</v>
      </c>
      <c r="F56" s="60"/>
      <c r="G56" s="60"/>
      <c r="H56" s="60"/>
      <c r="I56" s="60"/>
      <c r="J56" s="103" t="s">
        <v>16</v>
      </c>
      <c r="K56" s="95">
        <f>SUM(K50:K55)</f>
        <v>110</v>
      </c>
    </row>
    <row r="57" spans="1:11" ht="14.25">
      <c r="A57" s="85" t="s">
        <v>140</v>
      </c>
      <c r="C57" s="252">
        <v>6</v>
      </c>
      <c r="D57" s="252">
        <v>7</v>
      </c>
      <c r="E57" s="86">
        <f t="shared" si="2"/>
        <v>42</v>
      </c>
      <c r="F57" s="60"/>
      <c r="G57" s="60"/>
      <c r="H57" s="60"/>
      <c r="I57" s="60"/>
      <c r="J57" s="103" t="s">
        <v>23</v>
      </c>
      <c r="K57" s="184">
        <f>+K56/60</f>
        <v>1.8333333333333333</v>
      </c>
    </row>
    <row r="58" spans="1:10" ht="14.25">
      <c r="A58" s="85" t="s">
        <v>141</v>
      </c>
      <c r="C58" s="252">
        <v>6</v>
      </c>
      <c r="D58" s="252">
        <v>12</v>
      </c>
      <c r="E58" s="86">
        <f t="shared" si="2"/>
        <v>72</v>
      </c>
      <c r="F58" s="60"/>
      <c r="G58" s="60"/>
      <c r="H58" s="60"/>
      <c r="I58" s="60"/>
      <c r="J58" s="103"/>
    </row>
    <row r="59" spans="1:10" ht="14.25">
      <c r="A59" s="253" t="s">
        <v>142</v>
      </c>
      <c r="B59" s="253"/>
      <c r="C59" s="252">
        <v>2</v>
      </c>
      <c r="D59" s="252">
        <v>15</v>
      </c>
      <c r="E59" s="86">
        <f t="shared" si="2"/>
        <v>30</v>
      </c>
      <c r="F59" s="60"/>
      <c r="G59" s="60"/>
      <c r="H59" s="60"/>
      <c r="I59" s="60"/>
      <c r="J59" s="103"/>
    </row>
    <row r="60" spans="1:10" ht="15" thickBot="1">
      <c r="A60" s="253"/>
      <c r="B60" s="253"/>
      <c r="C60" s="252"/>
      <c r="D60" s="252"/>
      <c r="E60" s="86">
        <f t="shared" si="2"/>
        <v>0</v>
      </c>
      <c r="F60" s="60"/>
      <c r="G60" s="60"/>
      <c r="H60" s="60"/>
      <c r="I60" s="60"/>
      <c r="J60" s="103"/>
    </row>
    <row r="61" spans="1:10" ht="15" thickBot="1">
      <c r="A61" s="105"/>
      <c r="B61" s="105"/>
      <c r="C61" s="94"/>
      <c r="D61" s="94"/>
      <c r="E61" s="95">
        <f>SUM(E50:E60)</f>
        <v>4444</v>
      </c>
      <c r="F61" s="60" t="s">
        <v>16</v>
      </c>
      <c r="G61" s="60"/>
      <c r="H61" s="60"/>
      <c r="I61" s="60"/>
      <c r="J61" s="103"/>
    </row>
    <row r="62" spans="1:10" ht="14.25">
      <c r="A62" s="12" t="s">
        <v>325</v>
      </c>
      <c r="B62" s="105"/>
      <c r="C62" s="94"/>
      <c r="D62" s="94"/>
      <c r="E62" s="99">
        <f>+E61/60</f>
        <v>74.06666666666666</v>
      </c>
      <c r="F62" s="94" t="s">
        <v>50</v>
      </c>
      <c r="G62" s="60"/>
      <c r="H62" s="60"/>
      <c r="I62" s="60"/>
      <c r="J62" s="103"/>
    </row>
    <row r="63" spans="1:11" ht="13.5" thickBo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0" ht="14.25">
      <c r="A64" s="105"/>
      <c r="B64" s="105"/>
      <c r="C64" s="94"/>
      <c r="D64" s="94"/>
      <c r="F64" s="60"/>
      <c r="G64" s="60"/>
      <c r="H64" s="60"/>
      <c r="I64" s="60"/>
      <c r="J64" s="103"/>
    </row>
    <row r="65" spans="1:10" ht="18">
      <c r="A65" s="105"/>
      <c r="B65" s="105"/>
      <c r="C65" s="94"/>
      <c r="D65" s="94"/>
      <c r="G65" s="104" t="s">
        <v>81</v>
      </c>
      <c r="J65" s="103"/>
    </row>
    <row r="66" spans="1:10" ht="18">
      <c r="A66" s="105"/>
      <c r="B66" s="105"/>
      <c r="C66" s="94"/>
      <c r="D66" s="94"/>
      <c r="G66" s="110" t="s">
        <v>147</v>
      </c>
      <c r="J66" s="103"/>
    </row>
    <row r="67" spans="1:5" ht="12.75">
      <c r="A67" s="14"/>
      <c r="B67" s="14"/>
      <c r="C67" s="2"/>
      <c r="D67" s="2"/>
      <c r="E67" s="2"/>
    </row>
    <row r="68" spans="1:5" ht="12.75">
      <c r="A68" s="14"/>
      <c r="B68" s="14"/>
      <c r="C68" s="2"/>
      <c r="D68" s="2"/>
      <c r="E68" s="2"/>
    </row>
    <row r="69" spans="1:5" ht="18">
      <c r="A69" s="14"/>
      <c r="B69" s="14"/>
      <c r="C69" s="2"/>
      <c r="D69" s="2"/>
      <c r="E69" s="104"/>
    </row>
    <row r="70" spans="1:5" ht="18">
      <c r="A70" s="14"/>
      <c r="B70" s="14"/>
      <c r="C70" s="2"/>
      <c r="D70" s="2"/>
      <c r="E70" s="110"/>
    </row>
    <row r="71" spans="1:7" ht="14.25">
      <c r="A71" s="14"/>
      <c r="B71" s="14"/>
      <c r="C71" s="2"/>
      <c r="D71" s="2"/>
      <c r="G71" s="60"/>
    </row>
    <row r="72" spans="1:4" ht="12.75">
      <c r="A72" s="14"/>
      <c r="B72" s="14"/>
      <c r="C72" s="2"/>
      <c r="D72" s="2"/>
    </row>
    <row r="73" spans="1:4" ht="12.75">
      <c r="A73" s="14"/>
      <c r="B73" s="14"/>
      <c r="C73" s="2"/>
      <c r="D73" s="2"/>
    </row>
    <row r="74" spans="1:6" ht="15">
      <c r="A74" s="14"/>
      <c r="B74" s="14"/>
      <c r="C74" s="2"/>
      <c r="D74" s="2"/>
      <c r="E74" s="2"/>
      <c r="F74" s="111"/>
    </row>
    <row r="75" spans="1:5" ht="12.75">
      <c r="A75" s="14"/>
      <c r="B75" s="14"/>
      <c r="C75" s="2"/>
      <c r="D75" s="2"/>
      <c r="E75" s="2"/>
    </row>
    <row r="76" spans="1:5" ht="12.75">
      <c r="A76" s="14"/>
      <c r="B76" s="14"/>
      <c r="C76" s="2"/>
      <c r="D76" s="2"/>
      <c r="E76" s="2"/>
    </row>
    <row r="77" spans="1:5" ht="12.75">
      <c r="A77" s="14"/>
      <c r="B77" s="14"/>
      <c r="C77" s="2"/>
      <c r="D77" s="2"/>
      <c r="E77" s="2"/>
    </row>
    <row r="78" spans="1:5" ht="12.75">
      <c r="A78" s="14"/>
      <c r="B78" s="14"/>
      <c r="C78" s="2"/>
      <c r="D78" s="2"/>
      <c r="E78" s="2"/>
    </row>
    <row r="79" spans="1:5" ht="12.75">
      <c r="A79" s="14"/>
      <c r="B79" s="14"/>
      <c r="C79" s="2"/>
      <c r="D79" s="2"/>
      <c r="E79" s="2"/>
    </row>
    <row r="80" spans="1:5" ht="12.75">
      <c r="A80" s="14"/>
      <c r="B80" s="14"/>
      <c r="C80" s="2"/>
      <c r="D80" s="2"/>
      <c r="E80" s="2"/>
    </row>
    <row r="81" spans="1:5" ht="12.75">
      <c r="A81" s="14"/>
      <c r="B81" s="14"/>
      <c r="C81" s="2"/>
      <c r="D81" s="2"/>
      <c r="E81" s="2"/>
    </row>
    <row r="82" spans="1:5" ht="12.75">
      <c r="A82" s="14"/>
      <c r="B82" s="14"/>
      <c r="C82" s="2"/>
      <c r="D82" s="2"/>
      <c r="E82" s="2"/>
    </row>
    <row r="83" spans="1:5" ht="23.25">
      <c r="A83" s="83" t="s">
        <v>316</v>
      </c>
      <c r="B83" s="84"/>
      <c r="C83" s="2"/>
      <c r="D83" s="2"/>
      <c r="E83" s="2"/>
    </row>
    <row r="84" spans="1:5" ht="12.75">
      <c r="A84" s="14"/>
      <c r="B84" s="14"/>
      <c r="C84" s="39"/>
      <c r="D84" s="39"/>
      <c r="E84" s="39"/>
    </row>
    <row r="85" spans="1:5" ht="21" thickBot="1">
      <c r="A85" s="112" t="s">
        <v>327</v>
      </c>
      <c r="B85" s="14"/>
      <c r="C85" s="39"/>
      <c r="D85" s="39"/>
      <c r="E85" s="39"/>
    </row>
    <row r="86" spans="1:6" ht="20.25">
      <c r="A86" s="112"/>
      <c r="B86" s="425" t="s">
        <v>285</v>
      </c>
      <c r="C86" s="426"/>
      <c r="D86" s="39"/>
      <c r="E86" s="425" t="s">
        <v>39</v>
      </c>
      <c r="F86" s="426"/>
    </row>
    <row r="87" spans="1:8" ht="18">
      <c r="A87" s="14"/>
      <c r="B87" s="427" t="s">
        <v>27</v>
      </c>
      <c r="C87" s="428"/>
      <c r="E87" s="427" t="s">
        <v>27</v>
      </c>
      <c r="F87" s="428"/>
      <c r="H87" s="115" t="s">
        <v>28</v>
      </c>
    </row>
    <row r="88" spans="1:8" ht="12.75">
      <c r="A88" s="2"/>
      <c r="B88" s="35"/>
      <c r="C88" s="32"/>
      <c r="E88" s="35"/>
      <c r="F88" s="32"/>
      <c r="H88" s="264">
        <v>2.95</v>
      </c>
    </row>
    <row r="89" spans="1:6" ht="12.75">
      <c r="A89" s="2"/>
      <c r="B89" s="328" t="s">
        <v>225</v>
      </c>
      <c r="C89" s="276">
        <v>3.05</v>
      </c>
      <c r="E89" s="113" t="s">
        <v>153</v>
      </c>
      <c r="F89" s="262">
        <f>114-6*2.4</f>
        <v>99.6</v>
      </c>
    </row>
    <row r="90" spans="1:6" ht="12.75">
      <c r="A90" s="2"/>
      <c r="B90" s="35" t="s">
        <v>226</v>
      </c>
      <c r="C90" s="276">
        <v>3</v>
      </c>
      <c r="E90" s="116" t="s">
        <v>155</v>
      </c>
      <c r="F90" s="65">
        <f>+C91</f>
        <v>2.4</v>
      </c>
    </row>
    <row r="91" spans="1:6" ht="12.75">
      <c r="A91" s="2"/>
      <c r="B91" s="116" t="s">
        <v>155</v>
      </c>
      <c r="C91" s="277">
        <v>2.4</v>
      </c>
      <c r="E91" s="113" t="s">
        <v>154</v>
      </c>
      <c r="F91" s="65">
        <f>+C92</f>
        <v>1.7</v>
      </c>
    </row>
    <row r="92" spans="1:6" ht="12.75" customHeight="1">
      <c r="A92" s="2"/>
      <c r="B92" s="116" t="s">
        <v>227</v>
      </c>
      <c r="C92" s="277">
        <v>1.7</v>
      </c>
      <c r="E92" s="116" t="s">
        <v>83</v>
      </c>
      <c r="F92" s="134">
        <f>ROUND(F89/C90,0)</f>
        <v>33</v>
      </c>
    </row>
    <row r="93" spans="1:11" ht="18" customHeight="1" thickBot="1">
      <c r="A93" s="37"/>
      <c r="B93" s="185" t="s">
        <v>228</v>
      </c>
      <c r="C93" s="186">
        <f>ROUNDUP(+C90*C91*C92*H88,0)</f>
        <v>37</v>
      </c>
      <c r="D93" s="37"/>
      <c r="E93" s="185" t="s">
        <v>156</v>
      </c>
      <c r="F93" s="186">
        <f>ROUNDUP(F89*F90*F91*H88,0)</f>
        <v>1199</v>
      </c>
      <c r="G93" s="37"/>
      <c r="H93" s="37"/>
      <c r="I93" s="37"/>
      <c r="J93" s="37"/>
      <c r="K93" s="37"/>
    </row>
    <row r="94" spans="1:11" ht="12.75">
      <c r="A94" s="2"/>
      <c r="B94" s="35"/>
      <c r="C94" s="32"/>
      <c r="D94" s="2"/>
      <c r="E94" s="35"/>
      <c r="F94" s="32"/>
      <c r="G94" s="2"/>
      <c r="H94" s="2"/>
      <c r="I94" s="2"/>
      <c r="J94" s="2"/>
      <c r="K94" s="2"/>
    </row>
    <row r="95" spans="1:11" ht="20.25">
      <c r="A95" s="112" t="s">
        <v>317</v>
      </c>
      <c r="B95" s="35"/>
      <c r="C95" s="32"/>
      <c r="D95" s="2"/>
      <c r="E95" s="35"/>
      <c r="F95" s="32"/>
      <c r="G95" s="2"/>
      <c r="H95" s="2"/>
      <c r="I95" s="2"/>
      <c r="J95" s="2"/>
      <c r="K95" s="2"/>
    </row>
    <row r="96" spans="2:6" ht="18" customHeight="1">
      <c r="B96" s="64" t="s">
        <v>158</v>
      </c>
      <c r="C96" s="32"/>
      <c r="E96" s="35"/>
      <c r="F96" s="410" t="s">
        <v>240</v>
      </c>
    </row>
    <row r="97" spans="2:7" ht="12.75" customHeight="1">
      <c r="B97" s="64" t="s">
        <v>159</v>
      </c>
      <c r="C97" s="63" t="s">
        <v>23</v>
      </c>
      <c r="E97" s="35"/>
      <c r="F97" s="411"/>
      <c r="G97" s="18"/>
    </row>
    <row r="98" spans="1:6" ht="15" customHeight="1">
      <c r="A98" s="321" t="s">
        <v>157</v>
      </c>
      <c r="B98" s="261">
        <v>15</v>
      </c>
      <c r="C98" s="65">
        <f>ROUNDUP(B98/60*C90,1)</f>
        <v>0.7999999999999999</v>
      </c>
      <c r="E98" s="35"/>
      <c r="F98" s="65">
        <f>ROUNDUP(B98/60*F89,1)</f>
        <v>24.9</v>
      </c>
    </row>
    <row r="99" spans="1:11" ht="13.5" thickBot="1">
      <c r="A99" s="37"/>
      <c r="B99" s="36"/>
      <c r="C99" s="38"/>
      <c r="D99" s="37"/>
      <c r="E99" s="36"/>
      <c r="F99" s="38"/>
      <c r="G99" s="37"/>
      <c r="H99" s="37"/>
      <c r="I99" s="37"/>
      <c r="J99" s="37"/>
      <c r="K99" s="37"/>
    </row>
    <row r="100" spans="1:11" ht="12.75">
      <c r="A100" s="2"/>
      <c r="B100" s="35"/>
      <c r="C100" s="32"/>
      <c r="D100" s="2"/>
      <c r="E100" s="35"/>
      <c r="F100" s="32"/>
      <c r="G100" s="2"/>
      <c r="H100" s="2"/>
      <c r="I100" s="2"/>
      <c r="J100" s="2"/>
      <c r="K100" s="2"/>
    </row>
    <row r="101" spans="1:11" ht="20.25">
      <c r="A101" s="112" t="s">
        <v>318</v>
      </c>
      <c r="B101" s="35"/>
      <c r="C101" s="32"/>
      <c r="D101" s="2"/>
      <c r="E101" s="35"/>
      <c r="F101" s="32"/>
      <c r="G101" s="396" t="s">
        <v>29</v>
      </c>
      <c r="H101" s="397"/>
      <c r="I101" s="397"/>
      <c r="J101" s="397"/>
      <c r="K101" s="398"/>
    </row>
    <row r="102" spans="2:11" ht="15.75" customHeight="1">
      <c r="B102" s="35"/>
      <c r="C102" s="32"/>
      <c r="E102" s="35"/>
      <c r="F102" s="32"/>
      <c r="G102" s="445"/>
      <c r="H102" s="446"/>
      <c r="I102" s="423" t="s">
        <v>184</v>
      </c>
      <c r="J102" s="423" t="s">
        <v>185</v>
      </c>
      <c r="K102" s="423" t="s">
        <v>186</v>
      </c>
    </row>
    <row r="103" spans="2:11" ht="24.75" customHeight="1">
      <c r="B103" s="35"/>
      <c r="C103" s="63" t="s">
        <v>23</v>
      </c>
      <c r="E103" s="35"/>
      <c r="F103" s="63" t="s">
        <v>23</v>
      </c>
      <c r="G103" s="443"/>
      <c r="H103" s="444"/>
      <c r="I103" s="423"/>
      <c r="J103" s="423"/>
      <c r="K103" s="424"/>
    </row>
    <row r="104" spans="1:11" ht="12.75">
      <c r="A104" s="61" t="s">
        <v>163</v>
      </c>
      <c r="B104" s="35"/>
      <c r="C104" s="65">
        <f>ROUNDUP(+K107/K126*C90,1)</f>
        <v>0.9</v>
      </c>
      <c r="E104" s="35"/>
      <c r="F104" s="65">
        <f>+ROUNDUP(C104*K141,1)</f>
        <v>29.7</v>
      </c>
      <c r="G104" s="391" t="s">
        <v>160</v>
      </c>
      <c r="H104" s="392"/>
      <c r="I104" s="264">
        <v>1.2</v>
      </c>
      <c r="J104" s="265">
        <v>2</v>
      </c>
      <c r="K104" s="57">
        <f>ROUND(J104*I104/1.2+0.1,1)</f>
        <v>2.1</v>
      </c>
    </row>
    <row r="105" spans="2:11" ht="12.75" customHeight="1">
      <c r="B105" s="408" t="s">
        <v>243</v>
      </c>
      <c r="C105" s="32"/>
      <c r="E105" s="35"/>
      <c r="F105" s="32"/>
      <c r="G105" s="391" t="s">
        <v>161</v>
      </c>
      <c r="H105" s="392"/>
      <c r="I105" s="264">
        <v>1.2</v>
      </c>
      <c r="J105" s="265">
        <v>2</v>
      </c>
      <c r="K105" s="57">
        <f>ROUND(J105*I105/1.2+0.1,1)</f>
        <v>2.1</v>
      </c>
    </row>
    <row r="106" spans="2:11" ht="12.75" customHeight="1">
      <c r="B106" s="408"/>
      <c r="C106" s="63" t="s">
        <v>23</v>
      </c>
      <c r="E106" s="35"/>
      <c r="F106" s="63" t="s">
        <v>23</v>
      </c>
      <c r="G106" s="391" t="s">
        <v>162</v>
      </c>
      <c r="H106" s="392"/>
      <c r="I106" s="264">
        <v>1.2</v>
      </c>
      <c r="J106" s="265">
        <v>2</v>
      </c>
      <c r="K106" s="57">
        <f>ROUND(J106*I106/1.2+0.1,1)</f>
        <v>2.1</v>
      </c>
    </row>
    <row r="107" spans="1:11" ht="12.75">
      <c r="A107" s="16" t="s">
        <v>164</v>
      </c>
      <c r="B107" s="261">
        <v>8.5</v>
      </c>
      <c r="C107" s="65">
        <f>+ROUNDUP(B107/60*J107*C90,1)</f>
        <v>2.6</v>
      </c>
      <c r="E107" s="35"/>
      <c r="F107" s="65">
        <f>+ROUNDUP(C107*K141,1)</f>
        <v>85.8</v>
      </c>
      <c r="G107" s="2"/>
      <c r="J107" s="55">
        <f>SUM(J104:J106)</f>
        <v>6</v>
      </c>
      <c r="K107" s="57">
        <f>SUM(K104:K106)</f>
        <v>6.300000000000001</v>
      </c>
    </row>
    <row r="108" spans="1:6" ht="12.75">
      <c r="A108" s="286" t="s">
        <v>165</v>
      </c>
      <c r="B108" s="35"/>
      <c r="C108" s="118" t="s">
        <v>30</v>
      </c>
      <c r="E108" s="35"/>
      <c r="F108" s="118" t="s">
        <v>30</v>
      </c>
    </row>
    <row r="109" spans="1:11" ht="13.5" thickBot="1">
      <c r="A109" s="37"/>
      <c r="B109" s="36"/>
      <c r="C109" s="119">
        <f>+C104+C107</f>
        <v>3.5</v>
      </c>
      <c r="D109" s="187"/>
      <c r="E109" s="36"/>
      <c r="F109" s="119">
        <f>+F104+F107</f>
        <v>115.5</v>
      </c>
      <c r="G109" s="37"/>
      <c r="H109" s="37"/>
      <c r="I109" s="37"/>
      <c r="J109" s="37"/>
      <c r="K109" s="37"/>
    </row>
    <row r="110" spans="1:11" ht="12.75">
      <c r="A110" s="2"/>
      <c r="B110" s="35"/>
      <c r="C110" s="161"/>
      <c r="D110" s="2"/>
      <c r="E110" s="35"/>
      <c r="F110" s="161"/>
      <c r="G110" s="2"/>
      <c r="H110" s="2"/>
      <c r="I110" s="2"/>
      <c r="J110" s="2"/>
      <c r="K110" s="2"/>
    </row>
    <row r="111" spans="1:11" ht="15.75">
      <c r="A111" s="2"/>
      <c r="B111" s="35"/>
      <c r="C111" s="161"/>
      <c r="D111" s="2"/>
      <c r="E111" s="35"/>
      <c r="F111" s="161"/>
      <c r="G111" s="396" t="s">
        <v>187</v>
      </c>
      <c r="H111" s="397"/>
      <c r="I111" s="397"/>
      <c r="J111" s="397"/>
      <c r="K111" s="398"/>
    </row>
    <row r="112" spans="1:11" ht="20.25">
      <c r="A112" s="112" t="s">
        <v>319</v>
      </c>
      <c r="B112" s="64"/>
      <c r="C112" s="63"/>
      <c r="D112" s="2"/>
      <c r="E112" s="35"/>
      <c r="F112" s="161"/>
      <c r="G112" s="2"/>
      <c r="H112" s="501" t="s">
        <v>235</v>
      </c>
      <c r="I112" s="501"/>
      <c r="K112" s="2"/>
    </row>
    <row r="113" spans="1:10" ht="15">
      <c r="A113" s="2"/>
      <c r="B113" s="64" t="s">
        <v>280</v>
      </c>
      <c r="C113" s="63" t="s">
        <v>23</v>
      </c>
      <c r="E113" s="64" t="s">
        <v>280</v>
      </c>
      <c r="F113" s="63" t="s">
        <v>23</v>
      </c>
      <c r="G113" s="2"/>
      <c r="H113" s="502" t="s">
        <v>52</v>
      </c>
      <c r="I113" s="503"/>
      <c r="J113" s="48" t="s">
        <v>31</v>
      </c>
    </row>
    <row r="114" spans="1:10" ht="15.75" thickBot="1">
      <c r="A114" s="1" t="s">
        <v>166</v>
      </c>
      <c r="B114" s="261">
        <v>50</v>
      </c>
      <c r="C114" s="65">
        <f>+ROUNDUP(C93/B114,1)</f>
        <v>0.7999999999999999</v>
      </c>
      <c r="E114" s="261">
        <v>50</v>
      </c>
      <c r="F114" s="65">
        <f>+ROUNDUP(F93/E114,1)</f>
        <v>24</v>
      </c>
      <c r="G114" s="2"/>
      <c r="H114" s="504">
        <f>+F89*F91</f>
        <v>169.32</v>
      </c>
      <c r="I114" s="505"/>
      <c r="J114" s="234">
        <v>0.15</v>
      </c>
    </row>
    <row r="115" spans="1:11" ht="15.75">
      <c r="A115" s="2"/>
      <c r="B115" s="35"/>
      <c r="C115" s="32"/>
      <c r="E115" s="35"/>
      <c r="F115" s="32"/>
      <c r="G115" s="2"/>
      <c r="H115" s="506" t="s">
        <v>188</v>
      </c>
      <c r="I115" s="506"/>
      <c r="K115" s="2"/>
    </row>
    <row r="116" spans="1:11" ht="16.5">
      <c r="A116" s="2"/>
      <c r="B116" s="169" t="s">
        <v>220</v>
      </c>
      <c r="C116" s="63" t="s">
        <v>23</v>
      </c>
      <c r="E116" s="169" t="s">
        <v>220</v>
      </c>
      <c r="F116" s="63" t="s">
        <v>23</v>
      </c>
      <c r="G116" s="2"/>
      <c r="H116" s="497" t="s">
        <v>236</v>
      </c>
      <c r="I116" s="498"/>
      <c r="K116" s="2"/>
    </row>
    <row r="117" spans="1:11" ht="16.5" thickBot="1">
      <c r="A117" s="1" t="s">
        <v>297</v>
      </c>
      <c r="B117" s="261">
        <v>15</v>
      </c>
      <c r="C117" s="65">
        <f>IF(B117=0,0,ROUNDUP((C90*F91)/B117,1))</f>
        <v>0.4</v>
      </c>
      <c r="E117" s="261">
        <v>15</v>
      </c>
      <c r="F117" s="65">
        <f>IF(E117=0,0,+ROUNDUP(H114/E117,1))</f>
        <v>11.299999999999999</v>
      </c>
      <c r="G117" s="2"/>
      <c r="H117" s="499">
        <f>+H114*J114*H88*0.66</f>
        <v>49.449906000000006</v>
      </c>
      <c r="I117" s="500"/>
      <c r="K117" s="2"/>
    </row>
    <row r="118" spans="1:11" ht="13.5" thickBot="1">
      <c r="A118" s="37"/>
      <c r="B118" s="36"/>
      <c r="C118" s="162"/>
      <c r="D118" s="37"/>
      <c r="E118" s="36"/>
      <c r="F118" s="162"/>
      <c r="G118" s="37"/>
      <c r="H118" s="37"/>
      <c r="I118" s="37"/>
      <c r="J118" s="37"/>
      <c r="K118" s="37"/>
    </row>
    <row r="119" spans="1:11" ht="12.75">
      <c r="A119" s="2"/>
      <c r="B119" s="35"/>
      <c r="C119" s="161"/>
      <c r="D119" s="2"/>
      <c r="E119" s="35"/>
      <c r="F119" s="163"/>
      <c r="G119" s="2"/>
      <c r="H119" s="2"/>
      <c r="I119" s="2"/>
      <c r="J119" s="2"/>
      <c r="K119" s="2"/>
    </row>
    <row r="120" spans="1:11" ht="20.25">
      <c r="A120" s="112" t="s">
        <v>320</v>
      </c>
      <c r="B120" s="35"/>
      <c r="C120" s="161"/>
      <c r="D120" s="2"/>
      <c r="E120" s="35"/>
      <c r="F120" s="163"/>
      <c r="G120" s="396" t="s">
        <v>89</v>
      </c>
      <c r="H120" s="397"/>
      <c r="I120" s="397"/>
      <c r="J120" s="397"/>
      <c r="K120" s="398"/>
    </row>
    <row r="121" spans="1:11" ht="18" customHeight="1">
      <c r="A121" s="2"/>
      <c r="B121" s="64"/>
      <c r="C121" s="63"/>
      <c r="E121" s="64"/>
      <c r="F121" s="63"/>
      <c r="G121" s="120" t="s">
        <v>190</v>
      </c>
      <c r="H121" s="120"/>
      <c r="I121" s="120"/>
      <c r="J121" s="121"/>
      <c r="K121" s="266">
        <v>2.16</v>
      </c>
    </row>
    <row r="122" spans="1:11" ht="18" customHeight="1">
      <c r="A122" s="112"/>
      <c r="B122" s="64"/>
      <c r="C122" s="63"/>
      <c r="E122" s="64"/>
      <c r="F122" s="63"/>
      <c r="G122" s="346" t="s">
        <v>332</v>
      </c>
      <c r="H122" s="341"/>
      <c r="I122" s="341"/>
      <c r="J122" s="342"/>
      <c r="K122" s="336">
        <v>2</v>
      </c>
    </row>
    <row r="123" spans="2:11" ht="18" customHeight="1">
      <c r="B123" s="64"/>
      <c r="C123" s="63"/>
      <c r="E123" s="64"/>
      <c r="F123" s="63"/>
      <c r="G123" s="338"/>
      <c r="H123" s="339"/>
      <c r="I123" s="339"/>
      <c r="J123" s="340"/>
      <c r="K123" s="337"/>
    </row>
    <row r="124" spans="2:11" ht="18" customHeight="1">
      <c r="B124" s="64"/>
      <c r="C124" s="63"/>
      <c r="E124" s="64"/>
      <c r="F124" s="63"/>
      <c r="G124" s="52" t="s">
        <v>192</v>
      </c>
      <c r="H124" s="122"/>
      <c r="I124" s="122"/>
      <c r="J124" s="67"/>
      <c r="K124" s="123">
        <f>+K122+K121*2</f>
        <v>6.32</v>
      </c>
    </row>
    <row r="125" spans="2:11" ht="18" customHeight="1" thickBot="1">
      <c r="B125" s="64"/>
      <c r="C125" s="63"/>
      <c r="E125" s="64"/>
      <c r="F125" s="63"/>
      <c r="G125" s="188"/>
      <c r="H125" s="188"/>
      <c r="I125" s="188"/>
      <c r="K125" s="126"/>
    </row>
    <row r="126" spans="1:11" ht="18" customHeight="1">
      <c r="A126" s="2"/>
      <c r="B126" s="64"/>
      <c r="C126" s="63" t="s">
        <v>33</v>
      </c>
      <c r="E126" s="64"/>
      <c r="F126" s="63" t="s">
        <v>33</v>
      </c>
      <c r="G126" s="335" t="s">
        <v>34</v>
      </c>
      <c r="H126" s="332"/>
      <c r="I126" s="332"/>
      <c r="J126" s="333"/>
      <c r="K126" s="447">
        <f>2.4/K124*60</f>
        <v>22.784810126582276</v>
      </c>
    </row>
    <row r="127" spans="1:11" ht="18" customHeight="1" thickBot="1">
      <c r="A127" s="54" t="s">
        <v>167</v>
      </c>
      <c r="B127" s="64"/>
      <c r="C127" s="49">
        <f>C89*J130</f>
        <v>27.45</v>
      </c>
      <c r="E127" s="64"/>
      <c r="F127" s="65">
        <f>+F92*C127</f>
        <v>905.85</v>
      </c>
      <c r="G127" s="355" t="s">
        <v>193</v>
      </c>
      <c r="H127" s="356"/>
      <c r="I127" s="356"/>
      <c r="J127" s="357"/>
      <c r="K127" s="448"/>
    </row>
    <row r="128" spans="1:11" ht="18" customHeight="1" thickBot="1">
      <c r="A128" s="189"/>
      <c r="B128" s="64"/>
      <c r="C128" s="63"/>
      <c r="E128" s="64"/>
      <c r="F128" s="63"/>
      <c r="G128" s="188"/>
      <c r="H128" s="188"/>
      <c r="I128" s="188"/>
      <c r="K128" s="126"/>
    </row>
    <row r="129" spans="1:10" ht="18" customHeight="1">
      <c r="A129" s="2"/>
      <c r="B129" s="64"/>
      <c r="C129" s="63" t="s">
        <v>23</v>
      </c>
      <c r="E129" s="64"/>
      <c r="F129" s="63" t="s">
        <v>23</v>
      </c>
      <c r="G129" s="449" t="s">
        <v>300</v>
      </c>
      <c r="H129" s="450"/>
      <c r="I129" s="450"/>
      <c r="J129" s="451"/>
    </row>
    <row r="130" spans="1:10" ht="18" customHeight="1" thickBot="1">
      <c r="A130" s="61" t="s">
        <v>242</v>
      </c>
      <c r="B130" s="64"/>
      <c r="C130" s="65">
        <f>ROUNDUP(C127/$K$126,1)</f>
        <v>1.3</v>
      </c>
      <c r="E130" s="64"/>
      <c r="F130" s="65">
        <f>ROUNDUP(F127/$K$126,1)</f>
        <v>39.800000000000004</v>
      </c>
      <c r="G130" s="452" t="s">
        <v>229</v>
      </c>
      <c r="H130" s="453"/>
      <c r="I130" s="454"/>
      <c r="J130" s="278">
        <v>9</v>
      </c>
    </row>
    <row r="131" spans="1:10" ht="18" customHeight="1">
      <c r="A131" s="190"/>
      <c r="B131" s="64"/>
      <c r="C131" s="63"/>
      <c r="E131" s="64"/>
      <c r="F131" s="63"/>
      <c r="H131" s="305" t="s">
        <v>197</v>
      </c>
      <c r="I131" s="455" t="s">
        <v>36</v>
      </c>
      <c r="J131" s="456"/>
    </row>
    <row r="132" spans="1:10" ht="18" customHeight="1" thickBot="1">
      <c r="A132" s="32"/>
      <c r="B132" s="64"/>
      <c r="C132" s="63"/>
      <c r="E132" s="64"/>
      <c r="F132" s="63"/>
      <c r="H132" s="191">
        <f>+I132/C89</f>
        <v>1.3479052823315119</v>
      </c>
      <c r="I132" s="457">
        <f>+C93/J130</f>
        <v>4.111111111111111</v>
      </c>
      <c r="J132" s="458"/>
    </row>
    <row r="133" spans="1:11" ht="13.5" thickBot="1">
      <c r="A133" s="37"/>
      <c r="B133" s="36"/>
      <c r="C133" s="38"/>
      <c r="D133" s="37"/>
      <c r="E133" s="36"/>
      <c r="F133" s="38"/>
      <c r="G133" s="36"/>
      <c r="H133" s="37"/>
      <c r="I133" s="37"/>
      <c r="J133" s="37"/>
      <c r="K133" s="37"/>
    </row>
    <row r="134" spans="1:11" ht="12.75">
      <c r="A134" s="2"/>
      <c r="B134" s="35"/>
      <c r="C134" s="32"/>
      <c r="D134" s="2"/>
      <c r="E134" s="35"/>
      <c r="F134" s="32"/>
      <c r="G134" s="2"/>
      <c r="H134" s="2"/>
      <c r="I134" s="2"/>
      <c r="J134" s="2"/>
      <c r="K134" s="2"/>
    </row>
    <row r="135" spans="1:11" ht="15.75">
      <c r="A135" s="2"/>
      <c r="B135" s="35"/>
      <c r="C135" s="32"/>
      <c r="D135" s="2"/>
      <c r="E135" s="35"/>
      <c r="F135" s="2"/>
      <c r="G135" s="396" t="s">
        <v>53</v>
      </c>
      <c r="H135" s="397"/>
      <c r="I135" s="397"/>
      <c r="J135" s="397"/>
      <c r="K135" s="398"/>
    </row>
    <row r="136" spans="1:11" ht="20.25">
      <c r="A136" s="112" t="s">
        <v>321</v>
      </c>
      <c r="B136" s="35"/>
      <c r="C136" s="32"/>
      <c r="D136" s="2"/>
      <c r="E136" s="35"/>
      <c r="F136" s="32"/>
      <c r="G136" s="61"/>
      <c r="H136" s="131" t="s">
        <v>198</v>
      </c>
      <c r="I136" s="274">
        <v>32</v>
      </c>
      <c r="J136" s="459" t="s">
        <v>287</v>
      </c>
      <c r="K136" s="460"/>
    </row>
    <row r="137" spans="2:11" ht="20.25" customHeight="1">
      <c r="B137" s="408" t="s">
        <v>244</v>
      </c>
      <c r="C137" s="32"/>
      <c r="D137" s="2"/>
      <c r="E137" s="64"/>
      <c r="F137" s="410" t="s">
        <v>203</v>
      </c>
      <c r="G137" s="192"/>
      <c r="H137" s="131" t="s">
        <v>199</v>
      </c>
      <c r="I137" s="279">
        <v>1.01</v>
      </c>
      <c r="J137" s="460"/>
      <c r="K137" s="460"/>
    </row>
    <row r="138" spans="1:12" ht="12.75">
      <c r="A138" s="2"/>
      <c r="B138" s="409"/>
      <c r="C138" s="63" t="s">
        <v>23</v>
      </c>
      <c r="E138" s="64"/>
      <c r="F138" s="411"/>
      <c r="J138" s="460"/>
      <c r="K138" s="460"/>
      <c r="L138" s="18"/>
    </row>
    <row r="139" spans="1:11" ht="15" thickBot="1">
      <c r="A139" s="61" t="s">
        <v>109</v>
      </c>
      <c r="B139" s="267">
        <v>1.3</v>
      </c>
      <c r="C139" s="65">
        <f>ROUNDUP(J130*B139/60,1)</f>
        <v>0.2</v>
      </c>
      <c r="E139" s="64"/>
      <c r="F139" s="65">
        <f>ROUNDUP(C139*K141,1)</f>
        <v>6.6</v>
      </c>
      <c r="G139" s="404" t="s">
        <v>303</v>
      </c>
      <c r="H139" s="405"/>
      <c r="I139" s="133">
        <f>POWER(I136/1000,2)*PI()/4*1000*I137</f>
        <v>0.8122901965121768</v>
      </c>
      <c r="J139" s="406">
        <f>+I139*C90/I132</f>
        <v>0.5927523055629399</v>
      </c>
      <c r="K139" s="407"/>
    </row>
    <row r="140" spans="2:6" ht="15" customHeight="1" thickBot="1">
      <c r="B140" s="35"/>
      <c r="C140" s="32"/>
      <c r="E140" s="64"/>
      <c r="F140" s="32"/>
    </row>
    <row r="141" spans="1:11" ht="15" customHeight="1" thickBot="1">
      <c r="A141" s="61" t="s">
        <v>282</v>
      </c>
      <c r="B141" s="35"/>
      <c r="C141" s="65">
        <f>ROUND(+J139*C93,0)</f>
        <v>22</v>
      </c>
      <c r="E141" s="64"/>
      <c r="F141" s="65">
        <f>ROUND(+J139*F93,0)</f>
        <v>711</v>
      </c>
      <c r="H141" s="461" t="s">
        <v>201</v>
      </c>
      <c r="I141" s="462"/>
      <c r="J141" s="463"/>
      <c r="K141" s="193">
        <f>+F92</f>
        <v>33</v>
      </c>
    </row>
    <row r="142" spans="1:11" ht="13.5" thickBot="1">
      <c r="A142" s="37"/>
      <c r="B142" s="36"/>
      <c r="C142" s="38"/>
      <c r="D142" s="37"/>
      <c r="E142" s="36"/>
      <c r="F142" s="38"/>
      <c r="G142" s="37"/>
      <c r="H142" s="37"/>
      <c r="I142" s="37"/>
      <c r="J142" s="37"/>
      <c r="K142" s="37"/>
    </row>
    <row r="144" spans="1:6" ht="20.25">
      <c r="A144" s="112" t="s">
        <v>331</v>
      </c>
      <c r="B144" s="2"/>
      <c r="C144" s="2"/>
      <c r="D144" s="2"/>
      <c r="E144" s="2"/>
      <c r="F144" s="2"/>
    </row>
    <row r="145" spans="2:6" ht="12.75">
      <c r="B145" s="12" t="s">
        <v>114</v>
      </c>
      <c r="C145" s="2"/>
      <c r="D145" s="2"/>
      <c r="E145" s="2"/>
      <c r="F145" s="2"/>
    </row>
    <row r="146" spans="2:6" ht="12.75" customHeight="1">
      <c r="B146" s="39" t="s">
        <v>55</v>
      </c>
      <c r="C146" s="2"/>
      <c r="D146" s="2"/>
      <c r="E146" s="2"/>
      <c r="F146" s="2"/>
    </row>
    <row r="147" spans="1:6" ht="12.75">
      <c r="A147" s="16" t="s">
        <v>9</v>
      </c>
      <c r="B147" s="39" t="s">
        <v>245</v>
      </c>
      <c r="C147" s="2"/>
      <c r="D147" s="2"/>
      <c r="E147" s="2"/>
      <c r="F147" s="39" t="s">
        <v>30</v>
      </c>
    </row>
    <row r="148" spans="1:6" ht="12.75">
      <c r="A148" s="31" t="s">
        <v>54</v>
      </c>
      <c r="B148" s="264">
        <v>0</v>
      </c>
      <c r="C148" s="2"/>
      <c r="D148" s="2"/>
      <c r="E148" s="2"/>
      <c r="F148" s="51">
        <f>+ROUNDUP(B148/60*K141,1)</f>
        <v>0</v>
      </c>
    </row>
    <row r="149" spans="1:11" ht="13.5" thickBo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6" ht="20.25">
      <c r="A151" s="112" t="s">
        <v>322</v>
      </c>
      <c r="E151" s="163"/>
      <c r="F151" s="163"/>
    </row>
    <row r="152" spans="2:6" ht="14.25">
      <c r="B152" s="165" t="s">
        <v>5</v>
      </c>
      <c r="C152" s="165" t="s">
        <v>15</v>
      </c>
      <c r="D152" s="165" t="s">
        <v>32</v>
      </c>
      <c r="E152" s="165" t="s">
        <v>23</v>
      </c>
      <c r="F152" s="163"/>
    </row>
    <row r="153" spans="2:6" ht="14.25">
      <c r="B153" s="180">
        <f>(F89*F90*F91)</f>
        <v>406.36799999999994</v>
      </c>
      <c r="C153" s="274">
        <f>H88*0.66</f>
        <v>1.9470000000000003</v>
      </c>
      <c r="D153" s="252">
        <v>110</v>
      </c>
      <c r="E153" s="166">
        <f>+ROUNDUP(B153*C153/D153,1)</f>
        <v>7.199999999999999</v>
      </c>
      <c r="F153" s="167" t="s">
        <v>38</v>
      </c>
    </row>
    <row r="154" spans="5:6" ht="12.75">
      <c r="E154" s="163"/>
      <c r="F154" s="163"/>
    </row>
    <row r="155" spans="1:11" ht="13.5" thickBo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7" ht="20.25">
      <c r="A157" s="84" t="s">
        <v>324</v>
      </c>
    </row>
    <row r="159" ht="18">
      <c r="A159" s="330" t="s">
        <v>246</v>
      </c>
    </row>
    <row r="160" spans="1:2" ht="12.75">
      <c r="A160" s="464" t="s">
        <v>301</v>
      </c>
      <c r="B160" s="465"/>
    </row>
    <row r="161" spans="1:10" ht="15.75" customHeight="1">
      <c r="A161" s="466" t="s">
        <v>247</v>
      </c>
      <c r="B161" s="467"/>
      <c r="C161" s="138" t="s">
        <v>88</v>
      </c>
      <c r="D161" s="58" t="s">
        <v>6</v>
      </c>
      <c r="E161" s="41" t="s">
        <v>41</v>
      </c>
      <c r="F161" s="41" t="s">
        <v>42</v>
      </c>
      <c r="G161" s="58" t="s">
        <v>43</v>
      </c>
      <c r="H161" s="231" t="s">
        <v>7</v>
      </c>
      <c r="I161" s="41" t="s">
        <v>45</v>
      </c>
      <c r="J161" s="18" t="s">
        <v>284</v>
      </c>
    </row>
    <row r="162" spans="1:10" ht="15">
      <c r="A162" s="379" t="s">
        <v>249</v>
      </c>
      <c r="B162" s="380"/>
      <c r="C162" s="139" t="s">
        <v>40</v>
      </c>
      <c r="D162" s="140">
        <f>+E34</f>
        <v>0.25</v>
      </c>
      <c r="E162" s="140">
        <f>+E42</f>
        <v>0.16666666666666666</v>
      </c>
      <c r="F162" s="140">
        <f>K37/60</f>
        <v>0.25</v>
      </c>
      <c r="G162" s="140">
        <f>+K41-K37/60</f>
        <v>0.7333333333333333</v>
      </c>
      <c r="H162" s="141">
        <f>+B148/60</f>
        <v>0</v>
      </c>
      <c r="I162" s="141">
        <f>(+K57-K53/60)/K141</f>
        <v>0.0505050505050505</v>
      </c>
      <c r="J162" s="140">
        <f>SUM(C162:I162)</f>
        <v>1.4505050505050505</v>
      </c>
    </row>
    <row r="163" spans="1:10" ht="15">
      <c r="A163" s="401" t="s">
        <v>248</v>
      </c>
      <c r="B163" s="402"/>
      <c r="C163" s="194">
        <f>+C98</f>
        <v>0.7999999999999999</v>
      </c>
      <c r="D163" s="140">
        <f>+C109</f>
        <v>3.5</v>
      </c>
      <c r="E163" s="140">
        <f>+C130</f>
        <v>1.3</v>
      </c>
      <c r="F163" s="140">
        <f>+C114</f>
        <v>0.7999999999999999</v>
      </c>
      <c r="G163" s="140">
        <f>+C139</f>
        <v>0.2</v>
      </c>
      <c r="H163" s="142"/>
      <c r="I163" s="142"/>
      <c r="J163" s="140">
        <f>SUM(C163:I163)</f>
        <v>6.6</v>
      </c>
    </row>
    <row r="165" spans="1:2" ht="12.75">
      <c r="A165" s="144" t="s">
        <v>82</v>
      </c>
      <c r="B165" s="195"/>
    </row>
    <row r="166" spans="1:2" ht="12.75">
      <c r="A166" s="144" t="s">
        <v>210</v>
      </c>
      <c r="B166" s="195"/>
    </row>
    <row r="167" spans="1:10" ht="15">
      <c r="A167" s="403" t="s">
        <v>211</v>
      </c>
      <c r="B167" s="403"/>
      <c r="C167" s="140">
        <f>+(C98)/C176</f>
        <v>0.39999999999999997</v>
      </c>
      <c r="D167" s="140">
        <f>+(C109)/C176</f>
        <v>1.75</v>
      </c>
      <c r="E167" s="140">
        <f>(C130)/C176</f>
        <v>0.65</v>
      </c>
      <c r="F167" s="141">
        <f>+F163</f>
        <v>0.7999999999999999</v>
      </c>
      <c r="G167" s="140">
        <f>+(C139)/C176</f>
        <v>0.1</v>
      </c>
      <c r="H167" s="142"/>
      <c r="I167" s="142"/>
      <c r="J167" s="140">
        <f>SUM(C167:H167)</f>
        <v>3.6999999999999997</v>
      </c>
    </row>
    <row r="168" spans="1:10" ht="15.75">
      <c r="A168" s="145" t="s">
        <v>250</v>
      </c>
      <c r="I168" s="148" t="s">
        <v>0</v>
      </c>
      <c r="J168" s="146">
        <f>+J162+J167</f>
        <v>5.15050505050505</v>
      </c>
    </row>
    <row r="169" spans="9:10" ht="15">
      <c r="I169" s="46"/>
      <c r="J169" s="196" t="s">
        <v>10</v>
      </c>
    </row>
    <row r="170" spans="7:10" ht="15.75">
      <c r="G170" s="17"/>
      <c r="H170" s="17"/>
      <c r="I170" s="149" t="s">
        <v>288</v>
      </c>
      <c r="J170" s="315">
        <v>0.15</v>
      </c>
    </row>
    <row r="171" spans="4:11" ht="15">
      <c r="D171" s="60"/>
      <c r="H171" s="60"/>
      <c r="I171" s="148" t="s">
        <v>333</v>
      </c>
      <c r="J171" s="316">
        <f>+J168*J170*60</f>
        <v>46.354545454545445</v>
      </c>
      <c r="K171" s="78" t="s">
        <v>16</v>
      </c>
    </row>
    <row r="172" spans="9:10" ht="15.75" thickBot="1">
      <c r="I172" s="46"/>
      <c r="J172" s="196" t="s">
        <v>11</v>
      </c>
    </row>
    <row r="173" spans="7:11" ht="18.75" thickBot="1">
      <c r="G173" s="197"/>
      <c r="H173" s="197"/>
      <c r="I173" s="183" t="s">
        <v>334</v>
      </c>
      <c r="J173" s="317">
        <f>ROUNDUP(+J171/60+J168,1)</f>
        <v>6</v>
      </c>
      <c r="K173" s="78" t="s">
        <v>23</v>
      </c>
    </row>
    <row r="174" spans="9:10" ht="15">
      <c r="I174" s="46"/>
      <c r="J174" s="196" t="s">
        <v>10</v>
      </c>
    </row>
    <row r="175" spans="9:11" ht="18.75" thickBot="1">
      <c r="I175" s="183" t="s">
        <v>335</v>
      </c>
      <c r="J175" s="318">
        <f>E20</f>
        <v>2.283333333333333</v>
      </c>
      <c r="K175" s="78" t="s">
        <v>23</v>
      </c>
    </row>
    <row r="176" spans="2:11" ht="17.25" thickBot="1" thickTop="1">
      <c r="B176" s="198" t="s">
        <v>214</v>
      </c>
      <c r="C176" s="280">
        <v>2</v>
      </c>
      <c r="J176" s="199" t="s">
        <v>11</v>
      </c>
      <c r="K176" s="50"/>
    </row>
    <row r="177" spans="2:11" ht="24" thickBot="1">
      <c r="B177" s="198" t="s">
        <v>58</v>
      </c>
      <c r="C177" s="280">
        <v>8</v>
      </c>
      <c r="D177" s="200" t="s">
        <v>17</v>
      </c>
      <c r="I177" s="183" t="s">
        <v>336</v>
      </c>
      <c r="J177" s="317">
        <f>+J175+J173</f>
        <v>8.283333333333333</v>
      </c>
      <c r="K177" s="78" t="s">
        <v>23</v>
      </c>
    </row>
    <row r="178" ht="12.75">
      <c r="J178" s="50"/>
    </row>
    <row r="179" spans="7:10" ht="18">
      <c r="G179" s="197"/>
      <c r="H179" s="17"/>
      <c r="I179" s="149" t="s">
        <v>57</v>
      </c>
      <c r="J179" s="319">
        <f>+J173/C177</f>
        <v>0.75</v>
      </c>
    </row>
    <row r="180" spans="7:10" ht="18">
      <c r="G180" s="197"/>
      <c r="H180" s="17"/>
      <c r="I180" s="149" t="s">
        <v>56</v>
      </c>
      <c r="J180" s="319">
        <f>+J177/C177</f>
        <v>1.0354166666666667</v>
      </c>
    </row>
    <row r="181" spans="1:11" ht="18">
      <c r="A181" s="126"/>
      <c r="B181" s="126"/>
      <c r="C181" s="126"/>
      <c r="D181" s="126"/>
      <c r="E181" s="126"/>
      <c r="F181" s="126"/>
      <c r="G181" s="201"/>
      <c r="H181" s="202"/>
      <c r="I181" s="203"/>
      <c r="J181" s="126"/>
      <c r="K181" s="126"/>
    </row>
    <row r="182" spans="1:11" ht="18">
      <c r="A182" s="2"/>
      <c r="B182" s="2"/>
      <c r="C182" s="2"/>
      <c r="D182" s="2"/>
      <c r="E182" s="2"/>
      <c r="F182" s="2"/>
      <c r="G182" s="204"/>
      <c r="H182" s="59"/>
      <c r="I182" s="205"/>
      <c r="J182" s="2"/>
      <c r="K182" s="2"/>
    </row>
    <row r="183" ht="20.25">
      <c r="A183" s="84" t="s">
        <v>238</v>
      </c>
    </row>
    <row r="184" ht="14.25">
      <c r="A184" s="206" t="s">
        <v>116</v>
      </c>
    </row>
    <row r="185" ht="14.25">
      <c r="A185" s="206" t="s">
        <v>239</v>
      </c>
    </row>
    <row r="186" ht="6.75" customHeight="1"/>
    <row r="187" spans="1:4" ht="15">
      <c r="A187" s="94"/>
      <c r="C187" s="207" t="s">
        <v>84</v>
      </c>
      <c r="D187" s="208">
        <f>+C177</f>
        <v>8</v>
      </c>
    </row>
    <row r="188" spans="4:6" ht="15">
      <c r="D188" s="209" t="s">
        <v>18</v>
      </c>
      <c r="F188" s="210"/>
    </row>
    <row r="189" spans="1:11" ht="18.75" thickBot="1">
      <c r="A189" s="197"/>
      <c r="B189" s="197"/>
      <c r="C189" s="211" t="s">
        <v>290</v>
      </c>
      <c r="D189" s="212">
        <f>+J175</f>
        <v>2.283333333333333</v>
      </c>
      <c r="F189" s="468" t="str">
        <f>+I173</f>
        <v>total time required inside the stope (contingency included) </v>
      </c>
      <c r="G189" s="469"/>
      <c r="I189" s="472" t="s">
        <v>237</v>
      </c>
      <c r="J189" s="473"/>
      <c r="K189" s="474"/>
    </row>
    <row r="190" spans="4:11" ht="15.75" thickTop="1">
      <c r="D190" s="209" t="s">
        <v>11</v>
      </c>
      <c r="F190" s="470"/>
      <c r="G190" s="471"/>
      <c r="I190" s="475"/>
      <c r="J190" s="476"/>
      <c r="K190" s="477"/>
    </row>
    <row r="191" spans="3:11" ht="15.75">
      <c r="C191" s="211" t="s">
        <v>289</v>
      </c>
      <c r="D191" s="213">
        <f>C177-J175</f>
        <v>5.716666666666667</v>
      </c>
      <c r="E191" s="18" t="s">
        <v>19</v>
      </c>
      <c r="F191" s="478">
        <f>+J173</f>
        <v>6</v>
      </c>
      <c r="G191" s="479"/>
      <c r="H191" s="209" t="s">
        <v>11</v>
      </c>
      <c r="I191" s="480">
        <f>D191/J173</f>
        <v>0.9527777777777778</v>
      </c>
      <c r="J191" s="481"/>
      <c r="K191" s="482"/>
    </row>
    <row r="192" spans="2:20" ht="32.25" customHeight="1">
      <c r="B192" s="483" t="str">
        <f>IF(I191&lt;1,"Is it possible to blast during the shift?     If no, change the parameters to obtain a round number ","Is it possible to blast during the shift?    If yes, optimize the parameters to obtain the desired results.")</f>
        <v>Is it possible to blast during the shift?     If no, change the parameters to obtain a round number </v>
      </c>
      <c r="C192" s="484"/>
      <c r="D192" s="484"/>
      <c r="E192" s="484"/>
      <c r="F192" s="484"/>
      <c r="G192" s="484"/>
      <c r="H192" s="484"/>
      <c r="I192" s="484"/>
      <c r="J192" s="484"/>
      <c r="K192" s="485"/>
      <c r="P192" s="214"/>
      <c r="Q192" s="214"/>
      <c r="R192" s="214"/>
      <c r="S192" s="214"/>
      <c r="T192" s="214"/>
    </row>
    <row r="193" spans="1:11" ht="13.5" thickBot="1">
      <c r="A193" s="215"/>
      <c r="B193" s="215"/>
      <c r="C193" s="37"/>
      <c r="D193" s="37"/>
      <c r="E193" s="37"/>
      <c r="F193" s="37"/>
      <c r="G193" s="37"/>
      <c r="H193" s="37"/>
      <c r="I193" s="37"/>
      <c r="J193" s="37"/>
      <c r="K193" s="37"/>
    </row>
    <row r="194" ht="12.75">
      <c r="I194" s="2"/>
    </row>
    <row r="195" spans="1:12" ht="20.25">
      <c r="A195" s="84" t="s">
        <v>85</v>
      </c>
      <c r="I195" s="371" t="s">
        <v>44</v>
      </c>
      <c r="J195" s="53"/>
      <c r="L195" s="53"/>
    </row>
    <row r="196" spans="1:12" ht="20.25">
      <c r="A196" s="56"/>
      <c r="I196" s="372"/>
      <c r="J196" s="53"/>
      <c r="L196" s="53"/>
    </row>
    <row r="197" spans="1:12" ht="20.25">
      <c r="A197" s="56"/>
      <c r="I197" s="372"/>
      <c r="J197" s="53"/>
      <c r="L197" s="53"/>
    </row>
    <row r="198" spans="1:12" ht="20.25">
      <c r="A198" s="56"/>
      <c r="I198" s="372"/>
      <c r="J198" s="53"/>
      <c r="L198" s="53"/>
    </row>
    <row r="199" spans="1:11" ht="15.75">
      <c r="A199" s="486" t="s">
        <v>314</v>
      </c>
      <c r="B199" s="487"/>
      <c r="C199" s="138" t="s">
        <v>88</v>
      </c>
      <c r="D199" s="58" t="s">
        <v>6</v>
      </c>
      <c r="E199" s="41" t="s">
        <v>41</v>
      </c>
      <c r="F199" s="41" t="s">
        <v>42</v>
      </c>
      <c r="G199" s="58" t="s">
        <v>43</v>
      </c>
      <c r="H199" s="231" t="s">
        <v>7</v>
      </c>
      <c r="I199" s="373"/>
      <c r="J199" s="232" t="s">
        <v>45</v>
      </c>
      <c r="K199" s="18" t="s">
        <v>284</v>
      </c>
    </row>
    <row r="200" spans="1:11" ht="15">
      <c r="A200" s="379" t="s">
        <v>249</v>
      </c>
      <c r="B200" s="380"/>
      <c r="C200" s="139" t="s">
        <v>40</v>
      </c>
      <c r="D200" s="140">
        <f>+E34*K141</f>
        <v>8.25</v>
      </c>
      <c r="E200" s="140">
        <f>+E42*K141</f>
        <v>5.5</v>
      </c>
      <c r="F200" s="140">
        <f>+K37/60*K141</f>
        <v>8.25</v>
      </c>
      <c r="G200" s="140">
        <f>(+K41-K37/60)*K141</f>
        <v>24.2</v>
      </c>
      <c r="H200" s="141">
        <f>+F148</f>
        <v>0</v>
      </c>
      <c r="I200" s="141">
        <f>+E62</f>
        <v>74.06666666666666</v>
      </c>
      <c r="J200" s="140">
        <f>+K57</f>
        <v>1.8333333333333333</v>
      </c>
      <c r="K200" s="140">
        <f>SUM(C200:J200)</f>
        <v>122.1</v>
      </c>
    </row>
    <row r="201" spans="1:11" ht="15">
      <c r="A201" s="401" t="s">
        <v>248</v>
      </c>
      <c r="B201" s="402"/>
      <c r="C201" s="194">
        <f>+F98</f>
        <v>24.9</v>
      </c>
      <c r="D201" s="140">
        <f>+F109</f>
        <v>115.5</v>
      </c>
      <c r="E201" s="140">
        <f>+F130</f>
        <v>39.800000000000004</v>
      </c>
      <c r="F201" s="141">
        <f>+F114+F117</f>
        <v>35.3</v>
      </c>
      <c r="G201" s="140">
        <f>+F139</f>
        <v>6.6</v>
      </c>
      <c r="H201" s="142"/>
      <c r="I201" s="141">
        <f>+E153</f>
        <v>7.199999999999999</v>
      </c>
      <c r="J201" s="230"/>
      <c r="K201" s="140">
        <f>SUM(C201:J201)</f>
        <v>229.29999999999998</v>
      </c>
    </row>
    <row r="204" ht="12.75">
      <c r="A204" s="144" t="s">
        <v>82</v>
      </c>
    </row>
    <row r="205" ht="12.75">
      <c r="A205" s="144" t="s">
        <v>210</v>
      </c>
    </row>
    <row r="206" spans="1:11" ht="15">
      <c r="A206" s="403" t="s">
        <v>211</v>
      </c>
      <c r="B206" s="403"/>
      <c r="C206" s="194">
        <f>+(+F98)/C213</f>
        <v>12.45</v>
      </c>
      <c r="D206" s="140">
        <f>+(F109)/C213</f>
        <v>57.75</v>
      </c>
      <c r="E206" s="140">
        <f>(F130)/C213</f>
        <v>19.900000000000002</v>
      </c>
      <c r="F206" s="141">
        <f>+F201</f>
        <v>35.3</v>
      </c>
      <c r="G206" s="140">
        <f>+(F139)/C213</f>
        <v>3.3</v>
      </c>
      <c r="H206" s="229"/>
      <c r="I206" s="141">
        <f>+I201</f>
        <v>7.199999999999999</v>
      </c>
      <c r="J206" s="230"/>
      <c r="K206" s="140">
        <f>SUM(C206:J206)</f>
        <v>135.9</v>
      </c>
    </row>
    <row r="207" spans="1:11" ht="15.75">
      <c r="A207" s="145" t="s">
        <v>250</v>
      </c>
      <c r="J207" s="148" t="s">
        <v>0</v>
      </c>
      <c r="K207" s="146">
        <f>+K200+K206</f>
        <v>258</v>
      </c>
    </row>
    <row r="209" ht="12.75">
      <c r="K209" s="18" t="s">
        <v>20</v>
      </c>
    </row>
    <row r="210" spans="1:12" ht="12.75">
      <c r="A210" s="2" t="s">
        <v>212</v>
      </c>
      <c r="B210" s="2"/>
      <c r="C210" s="55">
        <f>(C206)*$C$213</f>
        <v>24.9</v>
      </c>
      <c r="D210" s="55">
        <f>(D200+D206)*$C$213</f>
        <v>132</v>
      </c>
      <c r="E210" s="55">
        <f>(E200+E206)*$C$213</f>
        <v>50.800000000000004</v>
      </c>
      <c r="F210" s="55">
        <f>(F200+F206)*$C$213</f>
        <v>87.1</v>
      </c>
      <c r="G210" s="55">
        <f>(G200+G206)*$C$213</f>
        <v>55</v>
      </c>
      <c r="H210" s="55">
        <f>(H200)*$C$213</f>
        <v>0</v>
      </c>
      <c r="I210" s="55">
        <f>(I200+I206)*$C$213</f>
        <v>162.53333333333333</v>
      </c>
      <c r="J210" s="55">
        <f>(J200)*$C$213</f>
        <v>3.6666666666666665</v>
      </c>
      <c r="K210" s="57">
        <f>SUM(C210:J210)</f>
        <v>516</v>
      </c>
      <c r="L210" s="50"/>
    </row>
    <row r="211" spans="1:12" ht="15.75">
      <c r="A211" s="2" t="s">
        <v>213</v>
      </c>
      <c r="B211" s="2"/>
      <c r="C211" s="55">
        <f aca="true" t="shared" si="4" ref="C211:J211">+C210/$C$214</f>
        <v>3.1125</v>
      </c>
      <c r="D211" s="55">
        <f t="shared" si="4"/>
        <v>16.5</v>
      </c>
      <c r="E211" s="55">
        <f t="shared" si="4"/>
        <v>6.3500000000000005</v>
      </c>
      <c r="F211" s="55">
        <f t="shared" si="4"/>
        <v>10.8875</v>
      </c>
      <c r="G211" s="55">
        <f t="shared" si="4"/>
        <v>6.875</v>
      </c>
      <c r="H211" s="55">
        <f t="shared" si="4"/>
        <v>0</v>
      </c>
      <c r="I211" s="55">
        <f t="shared" si="4"/>
        <v>20.316666666666666</v>
      </c>
      <c r="J211" s="55">
        <f t="shared" si="4"/>
        <v>0.4583333333333333</v>
      </c>
      <c r="K211" s="150">
        <f>SUM(C211:J211)</f>
        <v>64.5</v>
      </c>
      <c r="L211" s="50"/>
    </row>
    <row r="212" ht="12.75">
      <c r="K212" s="18" t="s">
        <v>12</v>
      </c>
    </row>
    <row r="213" spans="1:11" ht="15.75">
      <c r="A213" s="147" t="s">
        <v>214</v>
      </c>
      <c r="C213" s="303">
        <f>+C176</f>
        <v>2</v>
      </c>
      <c r="G213" s="148" t="s">
        <v>112</v>
      </c>
      <c r="H213" s="304">
        <f>+J170</f>
        <v>0.15</v>
      </c>
      <c r="J213" s="148" t="s">
        <v>215</v>
      </c>
      <c r="K213" s="150">
        <f>+K211*H213</f>
        <v>9.674999999999999</v>
      </c>
    </row>
    <row r="214" spans="1:11" ht="15">
      <c r="A214" s="147" t="s">
        <v>58</v>
      </c>
      <c r="B214" s="2"/>
      <c r="C214" s="303">
        <f>+C177</f>
        <v>8</v>
      </c>
      <c r="D214" s="12" t="s">
        <v>23</v>
      </c>
      <c r="K214" s="18" t="s">
        <v>11</v>
      </c>
    </row>
    <row r="215" spans="10:11" ht="15.75">
      <c r="J215" s="149" t="s">
        <v>251</v>
      </c>
      <c r="K215" s="150">
        <f>+K213+K211</f>
        <v>74.175</v>
      </c>
    </row>
    <row r="216" ht="12.75">
      <c r="K216" s="18" t="s">
        <v>12</v>
      </c>
    </row>
    <row r="217" spans="10:11" ht="15.75">
      <c r="J217" s="149" t="s">
        <v>216</v>
      </c>
      <c r="K217" s="150">
        <f>+K215*C214/(C214-J175)*J175/C214</f>
        <v>29.626749271137026</v>
      </c>
    </row>
    <row r="218" ht="12.75">
      <c r="K218" s="18" t="s">
        <v>13</v>
      </c>
    </row>
    <row r="219" spans="10:11" ht="15.75">
      <c r="J219" s="149" t="s">
        <v>217</v>
      </c>
      <c r="K219" s="150">
        <f>+K217+K215</f>
        <v>103.80174927113703</v>
      </c>
    </row>
    <row r="220" spans="9:11" ht="16.5" thickBot="1">
      <c r="I220" s="148" t="s">
        <v>86</v>
      </c>
      <c r="J220" s="150">
        <f>+I191</f>
        <v>0.9527777777777778</v>
      </c>
      <c r="K220" s="12" t="s">
        <v>291</v>
      </c>
    </row>
    <row r="221" spans="5:7" ht="15.75">
      <c r="E221" s="149" t="s">
        <v>252</v>
      </c>
      <c r="F221" s="281">
        <v>0.86</v>
      </c>
      <c r="G221" s="217" t="s">
        <v>291</v>
      </c>
    </row>
    <row r="222" spans="5:6" ht="15.75">
      <c r="E222" s="149" t="s">
        <v>329</v>
      </c>
      <c r="F222" s="218">
        <f>F221/I191</f>
        <v>0.9026239067055393</v>
      </c>
    </row>
    <row r="224" ht="12.75" customHeight="1" thickBot="1">
      <c r="C224" s="151">
        <f>IF(F222&gt;1," Vous ne pouvez pas entrer un nombre d'avance supérieur  au nombre possible calculé ci-haut","")</f>
      </c>
    </row>
    <row r="225" spans="2:7" ht="23.25" customHeight="1" thickBot="1" thickTop="1">
      <c r="B225" s="360" t="s">
        <v>87</v>
      </c>
      <c r="C225" s="361"/>
      <c r="D225" s="361"/>
      <c r="E225" s="361"/>
      <c r="F225" s="361"/>
      <c r="G225" s="362"/>
    </row>
    <row r="226" spans="2:11" ht="18" customHeight="1" thickBot="1">
      <c r="B226" s="492" t="s">
        <v>253</v>
      </c>
      <c r="C226" s="493"/>
      <c r="D226" s="493"/>
      <c r="E226" s="494"/>
      <c r="F226" s="306" t="s">
        <v>222</v>
      </c>
      <c r="G226" s="387" t="s">
        <v>14</v>
      </c>
      <c r="J226" s="152">
        <f>F93</f>
        <v>1199</v>
      </c>
      <c r="K226" t="s">
        <v>2</v>
      </c>
    </row>
    <row r="227" spans="2:7" ht="17.25" customHeight="1" thickBot="1">
      <c r="B227" s="153" t="s">
        <v>47</v>
      </c>
      <c r="C227" s="80" t="s">
        <v>111</v>
      </c>
      <c r="D227" s="495" t="s">
        <v>328</v>
      </c>
      <c r="E227" s="496"/>
      <c r="F227" s="154" t="s">
        <v>59</v>
      </c>
      <c r="G227" s="388"/>
    </row>
    <row r="228" spans="2:11" ht="25.5" customHeight="1" thickBot="1">
      <c r="B228" s="219">
        <f>+D228/(1+J170)</f>
        <v>70.82872430064037</v>
      </c>
      <c r="C228" s="220">
        <f>+D228-B228</f>
        <v>10.62430864509605</v>
      </c>
      <c r="D228" s="488">
        <f>+G228-F228</f>
        <v>81.45303294573642</v>
      </c>
      <c r="E228" s="489"/>
      <c r="F228" s="221">
        <f>+G228*D189/D187</f>
        <v>32.53371869844283</v>
      </c>
      <c r="G228" s="222">
        <f>(K141/F221+((I200+F117+I201)*(1+J170)/D191))*C176</f>
        <v>113.98675164417926</v>
      </c>
      <c r="H228" s="358" t="s">
        <v>49</v>
      </c>
      <c r="I228" s="359"/>
      <c r="J228" s="223">
        <f>+J226/G228</f>
        <v>10.518766283846698</v>
      </c>
      <c r="K228" t="s">
        <v>115</v>
      </c>
    </row>
    <row r="229" spans="2:7" ht="13.5" thickTop="1">
      <c r="B229" s="159">
        <f>+B228/$G$228</f>
        <v>0.6213768115942029</v>
      </c>
      <c r="C229" s="168">
        <f>+C228/$G$228</f>
        <v>0.09320652173913038</v>
      </c>
      <c r="D229" s="490">
        <f>+D228/$G$228</f>
        <v>0.7145833333333332</v>
      </c>
      <c r="E229" s="491"/>
      <c r="F229" s="224">
        <f>+F228/$G$228</f>
        <v>0.28541666666666665</v>
      </c>
      <c r="G229" s="160">
        <f>+F229+D229</f>
        <v>0.9999999999999999</v>
      </c>
    </row>
    <row r="230" spans="1:9" ht="15.75">
      <c r="A230" s="17"/>
      <c r="B230" s="17"/>
      <c r="I230" s="2"/>
    </row>
    <row r="234" spans="1:8" ht="14.25">
      <c r="A234" s="225" t="s">
        <v>168</v>
      </c>
      <c r="D234" s="287" t="s">
        <v>177</v>
      </c>
      <c r="H234" s="225" t="s">
        <v>180</v>
      </c>
    </row>
    <row r="235" spans="1:10" ht="12.75">
      <c r="A235" s="2" t="s">
        <v>169</v>
      </c>
      <c r="B235" s="57">
        <f>+K210</f>
        <v>516</v>
      </c>
      <c r="D235" s="2"/>
      <c r="E235" s="226" t="s">
        <v>178</v>
      </c>
      <c r="F235" s="57">
        <f>+B243</f>
        <v>74.175</v>
      </c>
      <c r="I235" s="46" t="str">
        <f>+E243</f>
        <v>Number of required shifts (schedule)</v>
      </c>
      <c r="J235" s="57">
        <f>+F243</f>
        <v>51.90087463556851</v>
      </c>
    </row>
    <row r="236" spans="1:10" ht="12.75">
      <c r="A236" s="2"/>
      <c r="B236" s="18" t="s">
        <v>19</v>
      </c>
      <c r="E236" s="2"/>
      <c r="F236" s="18" t="s">
        <v>19</v>
      </c>
      <c r="J236" s="18" t="s">
        <v>21</v>
      </c>
    </row>
    <row r="237" spans="1:10" ht="12.75">
      <c r="A237" s="2" t="s">
        <v>170</v>
      </c>
      <c r="B237" s="227">
        <f>+C214</f>
        <v>8</v>
      </c>
      <c r="E237" s="226" t="s">
        <v>183</v>
      </c>
      <c r="F237" s="55">
        <f>+D191</f>
        <v>5.716666666666667</v>
      </c>
      <c r="I237" s="46" t="s">
        <v>181</v>
      </c>
      <c r="J237" s="227">
        <f>+J175</f>
        <v>2.283333333333333</v>
      </c>
    </row>
    <row r="238" spans="1:10" ht="12.75">
      <c r="A238" s="2"/>
      <c r="B238" s="18" t="s">
        <v>13</v>
      </c>
      <c r="E238" s="2"/>
      <c r="F238" s="18" t="s">
        <v>21</v>
      </c>
      <c r="J238" s="18" t="s">
        <v>19</v>
      </c>
    </row>
    <row r="239" spans="1:10" ht="12.75">
      <c r="A239" s="2" t="s">
        <v>171</v>
      </c>
      <c r="B239" s="57">
        <f>+B235/B237</f>
        <v>64.5</v>
      </c>
      <c r="E239" s="2" t="s">
        <v>170</v>
      </c>
      <c r="F239" s="227">
        <f>+B237</f>
        <v>8</v>
      </c>
      <c r="I239" s="248" t="str">
        <f>+A237</f>
        <v>Hours/shift</v>
      </c>
      <c r="J239" s="227">
        <f>+B237</f>
        <v>8</v>
      </c>
    </row>
    <row r="240" spans="1:10" ht="12.75">
      <c r="A240" s="2"/>
      <c r="B240" s="18" t="s">
        <v>10</v>
      </c>
      <c r="E240" s="2"/>
      <c r="F240" s="18" t="s">
        <v>19</v>
      </c>
      <c r="J240" s="18" t="s">
        <v>11</v>
      </c>
    </row>
    <row r="241" spans="1:10" ht="12.75">
      <c r="A241" s="2" t="s">
        <v>113</v>
      </c>
      <c r="B241" s="216">
        <f>+J170</f>
        <v>0.15</v>
      </c>
      <c r="E241" s="2" t="s">
        <v>175</v>
      </c>
      <c r="F241" s="5">
        <f>+C213</f>
        <v>2</v>
      </c>
      <c r="I241" s="46" t="s">
        <v>182</v>
      </c>
      <c r="J241" s="288">
        <f>+J235*J237/J239</f>
        <v>14.813374635568513</v>
      </c>
    </row>
    <row r="242" spans="1:6" ht="12.75">
      <c r="A242" s="2"/>
      <c r="B242" s="18" t="s">
        <v>11</v>
      </c>
      <c r="F242" s="18" t="s">
        <v>11</v>
      </c>
    </row>
    <row r="243" spans="1:6" ht="12.75">
      <c r="A243" s="2" t="s">
        <v>171</v>
      </c>
      <c r="B243" s="57">
        <f>+B241*B239+B239</f>
        <v>74.175</v>
      </c>
      <c r="E243" s="46" t="s">
        <v>179</v>
      </c>
      <c r="F243" s="57">
        <f>+F235/F237*F239/F241</f>
        <v>51.90087463556851</v>
      </c>
    </row>
    <row r="244" ht="12.75">
      <c r="A244" t="s">
        <v>172</v>
      </c>
    </row>
    <row r="246" ht="14.25">
      <c r="A246" s="225" t="s">
        <v>173</v>
      </c>
    </row>
    <row r="247" spans="2:3" ht="12.75">
      <c r="B247" s="46" t="s">
        <v>174</v>
      </c>
      <c r="C247" s="228">
        <f>+F243</f>
        <v>51.90087463556851</v>
      </c>
    </row>
    <row r="248" ht="12.75">
      <c r="C248" s="18" t="s">
        <v>21</v>
      </c>
    </row>
    <row r="249" spans="2:3" ht="12.75">
      <c r="B249" t="s">
        <v>175</v>
      </c>
      <c r="C249" s="5">
        <f>+F241</f>
        <v>2</v>
      </c>
    </row>
    <row r="250" ht="12.75">
      <c r="C250" s="18" t="s">
        <v>11</v>
      </c>
    </row>
    <row r="251" spans="2:3" ht="12.75">
      <c r="B251" s="46" t="s">
        <v>176</v>
      </c>
      <c r="C251" s="57">
        <f>+C249*C247</f>
        <v>103.80174927113703</v>
      </c>
    </row>
    <row r="252" spans="2:4" ht="12.75">
      <c r="B252" s="46" t="s">
        <v>60</v>
      </c>
      <c r="C252" s="57">
        <f>+I191</f>
        <v>0.9527777777777778</v>
      </c>
      <c r="D252" t="s">
        <v>291</v>
      </c>
    </row>
  </sheetData>
  <mergeCells count="86">
    <mergeCell ref="H116:I116"/>
    <mergeCell ref="H117:I117"/>
    <mergeCell ref="G54:H54"/>
    <mergeCell ref="G111:K111"/>
    <mergeCell ref="H112:I112"/>
    <mergeCell ref="H113:I113"/>
    <mergeCell ref="H114:I114"/>
    <mergeCell ref="H115:I115"/>
    <mergeCell ref="G101:K101"/>
    <mergeCell ref="I102:I103"/>
    <mergeCell ref="D228:E228"/>
    <mergeCell ref="H228:I228"/>
    <mergeCell ref="D229:E229"/>
    <mergeCell ref="A206:B206"/>
    <mergeCell ref="B225:G225"/>
    <mergeCell ref="B226:E226"/>
    <mergeCell ref="G226:G227"/>
    <mergeCell ref="D227:E227"/>
    <mergeCell ref="B192:K192"/>
    <mergeCell ref="A199:B199"/>
    <mergeCell ref="A200:B200"/>
    <mergeCell ref="A201:B201"/>
    <mergeCell ref="I195:I199"/>
    <mergeCell ref="F189:G190"/>
    <mergeCell ref="I189:K190"/>
    <mergeCell ref="F191:G191"/>
    <mergeCell ref="I191:K191"/>
    <mergeCell ref="A161:B161"/>
    <mergeCell ref="A162:B162"/>
    <mergeCell ref="A163:B163"/>
    <mergeCell ref="A167:B167"/>
    <mergeCell ref="G139:H139"/>
    <mergeCell ref="J139:K139"/>
    <mergeCell ref="H141:J141"/>
    <mergeCell ref="A160:B160"/>
    <mergeCell ref="G135:K135"/>
    <mergeCell ref="J136:K138"/>
    <mergeCell ref="B137:B138"/>
    <mergeCell ref="F137:F138"/>
    <mergeCell ref="G129:J129"/>
    <mergeCell ref="G130:I130"/>
    <mergeCell ref="I131:J131"/>
    <mergeCell ref="I132:J132"/>
    <mergeCell ref="G120:K120"/>
    <mergeCell ref="G122:J123"/>
    <mergeCell ref="K122:K123"/>
    <mergeCell ref="K126:K127"/>
    <mergeCell ref="G126:J126"/>
    <mergeCell ref="G127:J127"/>
    <mergeCell ref="K102:K103"/>
    <mergeCell ref="G103:H103"/>
    <mergeCell ref="G104:H104"/>
    <mergeCell ref="B105:B106"/>
    <mergeCell ref="G105:H105"/>
    <mergeCell ref="G106:H106"/>
    <mergeCell ref="G102:H102"/>
    <mergeCell ref="B87:C87"/>
    <mergeCell ref="E87:F87"/>
    <mergeCell ref="F96:F97"/>
    <mergeCell ref="J102:J103"/>
    <mergeCell ref="G52:H52"/>
    <mergeCell ref="G55:H55"/>
    <mergeCell ref="B86:C86"/>
    <mergeCell ref="E86:F86"/>
    <mergeCell ref="G53:H53"/>
    <mergeCell ref="J48:J49"/>
    <mergeCell ref="K48:K49"/>
    <mergeCell ref="G50:H50"/>
    <mergeCell ref="G51:H51"/>
    <mergeCell ref="C48:C49"/>
    <mergeCell ref="D48:D49"/>
    <mergeCell ref="E48:E49"/>
    <mergeCell ref="I48:I49"/>
    <mergeCell ref="I27:I28"/>
    <mergeCell ref="J27:J28"/>
    <mergeCell ref="K27:K28"/>
    <mergeCell ref="C36:C37"/>
    <mergeCell ref="D36:D37"/>
    <mergeCell ref="E36:E37"/>
    <mergeCell ref="C27:C28"/>
    <mergeCell ref="D27:D28"/>
    <mergeCell ref="E27:E28"/>
    <mergeCell ref="C8:C9"/>
    <mergeCell ref="D8:D9"/>
    <mergeCell ref="E8:E9"/>
    <mergeCell ref="H8:K9"/>
  </mergeCells>
  <printOptions/>
  <pageMargins left="0.75" right="0.75" top="1" bottom="1" header="0.4921259845" footer="0.4921259845"/>
  <pageSetup cellComments="asDisplayed" horizontalDpi="600" verticalDpi="600" orientation="landscape" scale="67" r:id="rId4"/>
  <headerFooter alignWithMargins="0">
    <oddFooter>&amp;LFile:  &amp;F
Sheet:  &amp;A
Page &amp;P of &amp;N&amp;CExperimental Mine
Val-d'Or&amp;R&amp;D
&amp;T</oddFooter>
  </headerFooter>
  <rowBreaks count="2" manualBreakCount="2">
    <brk id="81" max="10" man="1"/>
    <brk id="118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47">
      <selection activeCell="D59" sqref="D59"/>
    </sheetView>
  </sheetViews>
  <sheetFormatPr defaultColWidth="9.140625" defaultRowHeight="12.75"/>
  <cols>
    <col min="1" max="1" width="15.8515625" style="0" customWidth="1"/>
    <col min="2" max="2" width="11.421875" style="0" customWidth="1"/>
    <col min="3" max="3" width="12.421875" style="0" bestFit="1" customWidth="1"/>
    <col min="4" max="4" width="14.28125" style="0" customWidth="1"/>
    <col min="5" max="6" width="11.421875" style="0" customWidth="1"/>
    <col min="7" max="7" width="9.28125" style="0" customWidth="1"/>
    <col min="8" max="8" width="13.57421875" style="0" customWidth="1"/>
    <col min="9" max="9" width="11.421875" style="0" customWidth="1"/>
    <col min="10" max="10" width="12.57421875" style="0" customWidth="1"/>
    <col min="11" max="11" width="13.57421875" style="0" customWidth="1"/>
    <col min="12" max="12" width="14.140625" style="0" customWidth="1"/>
    <col min="13" max="16384" width="11.421875" style="0" customWidth="1"/>
  </cols>
  <sheetData>
    <row r="1" ht="15">
      <c r="J1" s="91" t="s">
        <v>337</v>
      </c>
    </row>
    <row r="2" ht="36.75">
      <c r="A2" s="11" t="s">
        <v>42</v>
      </c>
    </row>
    <row r="3" spans="1:6" ht="12.75" customHeight="1">
      <c r="A3" s="511" t="s">
        <v>230</v>
      </c>
      <c r="B3" s="511"/>
      <c r="C3" s="511"/>
      <c r="D3" s="69" t="s">
        <v>231</v>
      </c>
      <c r="E3" s="347" t="s">
        <v>61</v>
      </c>
      <c r="F3" s="508"/>
    </row>
    <row r="4" spans="1:11" ht="18" customHeight="1" thickBot="1">
      <c r="A4" s="511"/>
      <c r="B4" s="511"/>
      <c r="C4" s="511"/>
      <c r="D4" s="294">
        <v>46</v>
      </c>
      <c r="E4" s="514" t="s">
        <v>62</v>
      </c>
      <c r="F4" s="515"/>
      <c r="H4" s="507" t="s">
        <v>296</v>
      </c>
      <c r="I4" s="507"/>
      <c r="J4" s="507"/>
      <c r="K4" s="507"/>
    </row>
    <row r="5" spans="8:12" ht="12.75">
      <c r="H5" s="41" t="s">
        <v>4</v>
      </c>
      <c r="I5" s="41" t="s">
        <v>32</v>
      </c>
      <c r="J5" s="41" t="s">
        <v>63</v>
      </c>
      <c r="K5" s="41" t="s">
        <v>64</v>
      </c>
      <c r="L5" s="41" t="s">
        <v>302</v>
      </c>
    </row>
    <row r="6" spans="6:12" ht="41.25" customHeight="1">
      <c r="F6" s="509" t="str">
        <f>+A12</f>
        <v>HOIST         18.5 HP    @ 90psi                       (Ingersoll-Rand)</v>
      </c>
      <c r="G6" s="510"/>
      <c r="H6" s="295">
        <v>18</v>
      </c>
      <c r="I6" s="42">
        <f>+B27</f>
        <v>55</v>
      </c>
      <c r="J6" s="51">
        <f>+C27</f>
        <v>25.612327476614634</v>
      </c>
      <c r="K6" s="296">
        <v>0.95</v>
      </c>
      <c r="L6" s="42">
        <f>+K6*I6</f>
        <v>52.25</v>
      </c>
    </row>
    <row r="7" spans="6:12" ht="24.75" customHeight="1">
      <c r="F7" s="512" t="str">
        <f>+A31</f>
        <v>CAVO 310</v>
      </c>
      <c r="G7" s="513"/>
      <c r="H7" s="295">
        <v>50</v>
      </c>
      <c r="I7" s="42">
        <f>+B39</f>
        <v>36</v>
      </c>
      <c r="J7" s="51">
        <f>+C39</f>
        <v>16.65285164821261</v>
      </c>
      <c r="K7" s="296">
        <v>0.9</v>
      </c>
      <c r="L7" s="42">
        <f>+K7*I7</f>
        <v>32.4</v>
      </c>
    </row>
    <row r="8" spans="6:12" ht="25.5" customHeight="1">
      <c r="F8" s="509" t="str">
        <f>+A46</f>
        <v>ELECTRIC SCOOP     EJC 60E</v>
      </c>
      <c r="G8" s="510"/>
      <c r="H8" s="295">
        <v>80</v>
      </c>
      <c r="I8" s="42">
        <f>+B57</f>
        <v>39</v>
      </c>
      <c r="J8" s="51">
        <f>+C57</f>
        <v>18.099727054033</v>
      </c>
      <c r="K8" s="296">
        <v>0.85</v>
      </c>
      <c r="L8" s="42">
        <f>+K8*I8</f>
        <v>33.15</v>
      </c>
    </row>
    <row r="9" spans="1:12" ht="25.5" customHeight="1">
      <c r="A9" s="68" t="s">
        <v>117</v>
      </c>
      <c r="B9" s="297">
        <f>2.95/1.38</f>
        <v>2.13768115942029</v>
      </c>
      <c r="F9" s="509" t="str">
        <f>+A62</f>
        <v>YOUR EQUIPMENT</v>
      </c>
      <c r="G9" s="510"/>
      <c r="H9" s="295">
        <v>90</v>
      </c>
      <c r="I9" s="42">
        <f>+B73</f>
        <v>39</v>
      </c>
      <c r="J9" s="51">
        <f>+C73</f>
        <v>18.43781842898932</v>
      </c>
      <c r="K9" s="296">
        <v>0.85</v>
      </c>
      <c r="L9" s="42">
        <f>+K9*I9</f>
        <v>33.15</v>
      </c>
    </row>
    <row r="10" ht="13.5" thickBot="1"/>
    <row r="11" spans="1:10" ht="12.75">
      <c r="A11" s="27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5.75">
      <c r="A12" s="44" t="s">
        <v>233</v>
      </c>
      <c r="B12" s="30"/>
      <c r="C12" s="25"/>
      <c r="D12" s="25"/>
      <c r="E12" s="26"/>
      <c r="F12" s="2"/>
      <c r="G12" s="2"/>
      <c r="H12" s="2"/>
      <c r="I12" s="2"/>
      <c r="J12" s="32"/>
    </row>
    <row r="13" spans="1:10" ht="12.75">
      <c r="A13" s="33" t="s">
        <v>4</v>
      </c>
      <c r="B13" s="1" t="s">
        <v>32</v>
      </c>
      <c r="C13" s="1" t="s">
        <v>63</v>
      </c>
      <c r="D13" s="1" t="s">
        <v>118</v>
      </c>
      <c r="E13" s="1" t="s">
        <v>65</v>
      </c>
      <c r="F13" s="2"/>
      <c r="G13" s="2"/>
      <c r="H13" s="2"/>
      <c r="I13" s="2"/>
      <c r="J13" s="32"/>
    </row>
    <row r="14" spans="1:10" ht="12.75">
      <c r="A14" s="34">
        <f>+D14/3.28</f>
        <v>12.195121951219512</v>
      </c>
      <c r="B14" s="19">
        <f>+E14/1.1023</f>
        <v>68.94674770933503</v>
      </c>
      <c r="C14" s="1">
        <f>ROUND(B14/$B$9,0)</f>
        <v>32</v>
      </c>
      <c r="D14" s="20">
        <v>40</v>
      </c>
      <c r="E14" s="21">
        <v>76</v>
      </c>
      <c r="F14" s="2"/>
      <c r="G14" s="2"/>
      <c r="H14" s="2"/>
      <c r="I14" s="2"/>
      <c r="J14" s="32"/>
    </row>
    <row r="15" spans="1:10" ht="12.75">
      <c r="A15" s="34">
        <f aca="true" t="shared" si="0" ref="A15:A25">+D15/3.28</f>
        <v>18.29268292682927</v>
      </c>
      <c r="B15" s="19">
        <f aca="true" t="shared" si="1" ref="B15:B25">+E15/1.1023</f>
        <v>53.52444887961535</v>
      </c>
      <c r="C15" s="1">
        <f aca="true" t="shared" si="2" ref="C15:C25">ROUND(B15/$B$9,0)</f>
        <v>25</v>
      </c>
      <c r="D15" s="22">
        <v>60</v>
      </c>
      <c r="E15" s="23">
        <v>59</v>
      </c>
      <c r="F15" s="2"/>
      <c r="G15" s="2"/>
      <c r="H15" s="2"/>
      <c r="I15" s="2"/>
      <c r="J15" s="32"/>
    </row>
    <row r="16" spans="1:10" ht="12.75">
      <c r="A16" s="34">
        <f t="shared" si="0"/>
        <v>24.390243902439025</v>
      </c>
      <c r="B16" s="19">
        <f t="shared" si="1"/>
        <v>42.63812029393087</v>
      </c>
      <c r="C16" s="1">
        <f t="shared" si="2"/>
        <v>20</v>
      </c>
      <c r="D16" s="22">
        <v>80</v>
      </c>
      <c r="E16" s="23">
        <v>47</v>
      </c>
      <c r="F16" s="2"/>
      <c r="G16" s="2"/>
      <c r="H16" s="2"/>
      <c r="I16" s="2"/>
      <c r="J16" s="32"/>
    </row>
    <row r="17" spans="1:10" ht="12.75">
      <c r="A17" s="34">
        <f t="shared" si="0"/>
        <v>30.48780487804878</v>
      </c>
      <c r="B17" s="19">
        <f t="shared" si="1"/>
        <v>36.28776195228159</v>
      </c>
      <c r="C17" s="1">
        <f t="shared" si="2"/>
        <v>17</v>
      </c>
      <c r="D17" s="22">
        <v>100</v>
      </c>
      <c r="E17" s="23">
        <v>40</v>
      </c>
      <c r="F17" s="2"/>
      <c r="G17" s="2"/>
      <c r="H17" s="2"/>
      <c r="I17" s="2"/>
      <c r="J17" s="32"/>
    </row>
    <row r="18" spans="1:10" ht="12.75">
      <c r="A18" s="34">
        <f t="shared" si="0"/>
        <v>36.58536585365854</v>
      </c>
      <c r="B18" s="19">
        <f t="shared" si="1"/>
        <v>30.84459765943935</v>
      </c>
      <c r="C18" s="1">
        <f t="shared" si="2"/>
        <v>14</v>
      </c>
      <c r="D18" s="22">
        <v>120</v>
      </c>
      <c r="E18" s="23">
        <v>34</v>
      </c>
      <c r="F18" s="2"/>
      <c r="G18" s="2"/>
      <c r="H18" s="2"/>
      <c r="I18" s="2"/>
      <c r="J18" s="32"/>
    </row>
    <row r="19" spans="1:10" ht="12.75">
      <c r="A19" s="34">
        <f t="shared" si="0"/>
        <v>42.6829268292683</v>
      </c>
      <c r="B19" s="19">
        <f t="shared" si="1"/>
        <v>27.215821464211192</v>
      </c>
      <c r="C19" s="1">
        <f t="shared" si="2"/>
        <v>13</v>
      </c>
      <c r="D19" s="22">
        <v>140</v>
      </c>
      <c r="E19" s="23">
        <v>30</v>
      </c>
      <c r="F19" s="2"/>
      <c r="G19" s="2"/>
      <c r="H19" s="2"/>
      <c r="I19" s="2"/>
      <c r="J19" s="32"/>
    </row>
    <row r="20" spans="1:10" ht="12.75">
      <c r="A20" s="34">
        <f t="shared" si="0"/>
        <v>48.78048780487805</v>
      </c>
      <c r="B20" s="19">
        <f t="shared" si="1"/>
        <v>25.401433366597114</v>
      </c>
      <c r="C20" s="1">
        <f t="shared" si="2"/>
        <v>12</v>
      </c>
      <c r="D20" s="22">
        <v>160</v>
      </c>
      <c r="E20" s="23">
        <v>28</v>
      </c>
      <c r="F20" s="2"/>
      <c r="G20" s="2"/>
      <c r="H20" s="2"/>
      <c r="I20" s="2"/>
      <c r="J20" s="32"/>
    </row>
    <row r="21" spans="1:10" ht="12.75">
      <c r="A21" s="34">
        <f t="shared" si="0"/>
        <v>54.87804878048781</v>
      </c>
      <c r="B21" s="19">
        <f t="shared" si="1"/>
        <v>23.587045268983033</v>
      </c>
      <c r="C21" s="1">
        <f t="shared" si="2"/>
        <v>11</v>
      </c>
      <c r="D21" s="22">
        <v>180</v>
      </c>
      <c r="E21" s="23">
        <v>26</v>
      </c>
      <c r="F21" s="2"/>
      <c r="G21" s="2"/>
      <c r="H21" s="2"/>
      <c r="I21" s="2"/>
      <c r="J21" s="32"/>
    </row>
    <row r="22" spans="1:10" ht="12.75">
      <c r="A22" s="34">
        <f t="shared" si="0"/>
        <v>60.97560975609756</v>
      </c>
      <c r="B22" s="19">
        <f t="shared" si="1"/>
        <v>19.051075024947835</v>
      </c>
      <c r="C22" s="1">
        <f t="shared" si="2"/>
        <v>9</v>
      </c>
      <c r="D22" s="22">
        <v>200</v>
      </c>
      <c r="E22" s="23">
        <v>21</v>
      </c>
      <c r="F22" s="2"/>
      <c r="G22" s="2"/>
      <c r="H22" s="2"/>
      <c r="I22" s="2"/>
      <c r="J22" s="32"/>
    </row>
    <row r="23" spans="1:10" ht="12.75">
      <c r="A23" s="34">
        <f t="shared" si="0"/>
        <v>67.07317073170732</v>
      </c>
      <c r="B23" s="19">
        <f t="shared" si="1"/>
        <v>18.143880976140796</v>
      </c>
      <c r="C23" s="1">
        <f t="shared" si="2"/>
        <v>8</v>
      </c>
      <c r="D23" s="22">
        <v>220</v>
      </c>
      <c r="E23" s="23">
        <v>20</v>
      </c>
      <c r="F23" s="2"/>
      <c r="G23" s="2"/>
      <c r="H23" s="2"/>
      <c r="I23" s="2"/>
      <c r="J23" s="32"/>
    </row>
    <row r="24" spans="1:10" ht="12.75">
      <c r="A24" s="34">
        <f t="shared" si="0"/>
        <v>73.17073170731707</v>
      </c>
      <c r="B24" s="19">
        <f t="shared" si="1"/>
        <v>16.329492878526715</v>
      </c>
      <c r="C24" s="1">
        <f t="shared" si="2"/>
        <v>8</v>
      </c>
      <c r="D24" s="22">
        <v>240</v>
      </c>
      <c r="E24" s="23">
        <v>18</v>
      </c>
      <c r="F24" s="2"/>
      <c r="G24" s="2"/>
      <c r="H24" s="2"/>
      <c r="I24" s="2"/>
      <c r="J24" s="32"/>
    </row>
    <row r="25" spans="1:10" ht="12.75">
      <c r="A25" s="34">
        <f t="shared" si="0"/>
        <v>91.46341463414635</v>
      </c>
      <c r="B25" s="19">
        <f t="shared" si="1"/>
        <v>12.700716683298557</v>
      </c>
      <c r="C25" s="1">
        <f t="shared" si="2"/>
        <v>6</v>
      </c>
      <c r="D25" s="24">
        <v>300</v>
      </c>
      <c r="E25" s="10">
        <v>14</v>
      </c>
      <c r="F25" s="2"/>
      <c r="G25" s="2"/>
      <c r="H25" s="2"/>
      <c r="I25" s="2"/>
      <c r="J25" s="32"/>
    </row>
    <row r="26" spans="1:10" ht="12.75">
      <c r="A26" s="35" t="s">
        <v>66</v>
      </c>
      <c r="B26" s="2"/>
      <c r="C26" s="2"/>
      <c r="D26" s="2"/>
      <c r="E26" s="2"/>
      <c r="F26" s="2"/>
      <c r="G26" s="2"/>
      <c r="H26" s="2"/>
      <c r="I26" s="2"/>
      <c r="J26" s="32"/>
    </row>
    <row r="27" spans="1:10" ht="12.75">
      <c r="A27" s="45">
        <f>+H6</f>
        <v>18</v>
      </c>
      <c r="B27" s="5">
        <f>ROUND(C27*$B$9,0)</f>
        <v>55</v>
      </c>
      <c r="C27" s="76">
        <f>IF(A27&lt;10," distance ?",POWER(A27,-0.8193)*273.46)</f>
        <v>25.612327476614634</v>
      </c>
      <c r="D27" s="2"/>
      <c r="E27" s="2"/>
      <c r="F27" s="2"/>
      <c r="G27" s="2"/>
      <c r="H27" s="2"/>
      <c r="I27" s="2"/>
      <c r="J27" s="32"/>
    </row>
    <row r="28" spans="1:10" ht="13.5" thickBot="1">
      <c r="A28" s="36"/>
      <c r="B28" s="37"/>
      <c r="C28" s="37"/>
      <c r="D28" s="37"/>
      <c r="E28" s="37"/>
      <c r="F28" s="37"/>
      <c r="G28" s="37"/>
      <c r="H28" s="37"/>
      <c r="I28" s="37"/>
      <c r="J28" s="38"/>
    </row>
    <row r="29" ht="13.5" thickBot="1"/>
    <row r="30" spans="1:10" ht="12.75">
      <c r="A30" s="27"/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5">
      <c r="A31" s="43" t="s">
        <v>3</v>
      </c>
      <c r="B31" s="2"/>
      <c r="C31" s="2"/>
      <c r="D31" s="2"/>
      <c r="E31" s="2"/>
      <c r="F31" s="2"/>
      <c r="G31" s="2"/>
      <c r="H31" s="2"/>
      <c r="I31" s="2"/>
      <c r="J31" s="32"/>
    </row>
    <row r="32" spans="1:10" ht="12.75">
      <c r="A32" s="33" t="s">
        <v>4</v>
      </c>
      <c r="B32" s="1" t="s">
        <v>32</v>
      </c>
      <c r="C32" s="1" t="s">
        <v>63</v>
      </c>
      <c r="D32" s="2"/>
      <c r="E32" s="2"/>
      <c r="F32" s="2"/>
      <c r="G32" s="2"/>
      <c r="H32" s="2"/>
      <c r="I32" s="2"/>
      <c r="J32" s="32"/>
    </row>
    <row r="33" spans="1:10" ht="12.75">
      <c r="A33" s="33">
        <v>10</v>
      </c>
      <c r="B33" s="1">
        <f>ROUND(C33*$B$9,0)</f>
        <v>52</v>
      </c>
      <c r="C33" s="1">
        <v>24.2</v>
      </c>
      <c r="D33" s="2"/>
      <c r="E33" s="2"/>
      <c r="F33" s="2"/>
      <c r="G33" s="2"/>
      <c r="H33" s="2"/>
      <c r="I33" s="2"/>
      <c r="J33" s="32"/>
    </row>
    <row r="34" spans="1:10" ht="12.75">
      <c r="A34" s="33">
        <v>25</v>
      </c>
      <c r="B34" s="1">
        <f>ROUND(C34*$B$9,0)</f>
        <v>43</v>
      </c>
      <c r="C34" s="1">
        <v>20</v>
      </c>
      <c r="D34" s="2"/>
      <c r="E34" s="2"/>
      <c r="F34" s="2"/>
      <c r="G34" s="2"/>
      <c r="H34" s="2"/>
      <c r="I34" s="2"/>
      <c r="J34" s="32"/>
    </row>
    <row r="35" spans="1:10" ht="12.75">
      <c r="A35" s="33">
        <v>50</v>
      </c>
      <c r="B35" s="1">
        <f>ROUND(C35*$B$9,0)</f>
        <v>35</v>
      </c>
      <c r="C35" s="1">
        <v>16.3</v>
      </c>
      <c r="D35" s="2"/>
      <c r="E35" s="2"/>
      <c r="F35" s="2"/>
      <c r="G35" s="2"/>
      <c r="H35" s="2"/>
      <c r="I35" s="2"/>
      <c r="J35" s="32"/>
    </row>
    <row r="36" spans="1:10" ht="12.75">
      <c r="A36" s="33">
        <v>75</v>
      </c>
      <c r="B36" s="1">
        <f>ROUND(C36*$B$9,0)</f>
        <v>28</v>
      </c>
      <c r="C36" s="1">
        <v>13.3</v>
      </c>
      <c r="D36" s="2"/>
      <c r="E36" s="2"/>
      <c r="F36" s="2"/>
      <c r="G36" s="2"/>
      <c r="H36" s="2"/>
      <c r="I36" s="2"/>
      <c r="J36" s="32"/>
    </row>
    <row r="37" spans="1:10" ht="12.75">
      <c r="A37" s="33">
        <v>100</v>
      </c>
      <c r="B37" s="1">
        <f>ROUND(C37*$B$9,0)</f>
        <v>24</v>
      </c>
      <c r="C37" s="1">
        <v>11.2</v>
      </c>
      <c r="D37" s="2"/>
      <c r="E37" s="2"/>
      <c r="F37" s="2"/>
      <c r="G37" s="2"/>
      <c r="H37" s="2"/>
      <c r="I37" s="2"/>
      <c r="J37" s="32"/>
    </row>
    <row r="38" spans="1:10" ht="12.75">
      <c r="A38" s="35" t="s">
        <v>66</v>
      </c>
      <c r="B38" s="2"/>
      <c r="C38" s="2"/>
      <c r="D38" s="2"/>
      <c r="E38" s="2"/>
      <c r="F38" s="2"/>
      <c r="G38" s="2"/>
      <c r="H38" s="2"/>
      <c r="I38" s="2"/>
      <c r="J38" s="32"/>
    </row>
    <row r="39" spans="1:10" ht="12.75">
      <c r="A39" s="45">
        <f>+H7</f>
        <v>50</v>
      </c>
      <c r="B39" s="5">
        <f>ROUND(C39*$B$9,0)</f>
        <v>36</v>
      </c>
      <c r="C39" s="57">
        <f>IF(A39&lt;10," distance ?",EXP(-0.0084*A39)*25.345)</f>
        <v>16.65285164821261</v>
      </c>
      <c r="D39" s="2"/>
      <c r="E39" s="2"/>
      <c r="F39" s="2"/>
      <c r="G39" s="2"/>
      <c r="H39" s="2"/>
      <c r="I39" s="2"/>
      <c r="J39" s="32"/>
    </row>
    <row r="40" spans="1:10" ht="12.75">
      <c r="A40" s="35"/>
      <c r="B40" s="39"/>
      <c r="C40" s="2"/>
      <c r="D40" s="2"/>
      <c r="E40" s="2"/>
      <c r="F40" s="2"/>
      <c r="G40" s="2"/>
      <c r="H40" s="2"/>
      <c r="I40" s="2"/>
      <c r="J40" s="32"/>
    </row>
    <row r="41" spans="1:10" ht="12.75">
      <c r="A41" s="35"/>
      <c r="B41" s="39"/>
      <c r="C41" s="2"/>
      <c r="D41" s="2"/>
      <c r="E41" s="2"/>
      <c r="F41" s="2"/>
      <c r="G41" s="2"/>
      <c r="H41" s="2"/>
      <c r="I41" s="2"/>
      <c r="J41" s="32"/>
    </row>
    <row r="42" spans="1:10" ht="12.75">
      <c r="A42" s="35"/>
      <c r="B42" s="39"/>
      <c r="C42" s="2"/>
      <c r="D42" s="2"/>
      <c r="E42" s="2"/>
      <c r="F42" s="2"/>
      <c r="G42" s="2"/>
      <c r="H42" s="2"/>
      <c r="I42" s="2"/>
      <c r="J42" s="32"/>
    </row>
    <row r="43" spans="1:10" ht="13.5" thickBot="1">
      <c r="A43" s="36"/>
      <c r="B43" s="40"/>
      <c r="C43" s="37"/>
      <c r="D43" s="37"/>
      <c r="E43" s="37"/>
      <c r="F43" s="37"/>
      <c r="G43" s="37"/>
      <c r="H43" s="37"/>
      <c r="I43" s="37"/>
      <c r="J43" s="38"/>
    </row>
    <row r="44" ht="13.5" thickBot="1"/>
    <row r="45" spans="1:10" ht="12.75">
      <c r="A45" s="27"/>
      <c r="B45" s="28"/>
      <c r="C45" s="28"/>
      <c r="D45" s="28"/>
      <c r="E45" s="28"/>
      <c r="F45" s="28"/>
      <c r="G45" s="28"/>
      <c r="H45" s="28"/>
      <c r="I45" s="28"/>
      <c r="J45" s="29"/>
    </row>
    <row r="46" spans="1:10" ht="15">
      <c r="A46" s="43" t="s">
        <v>67</v>
      </c>
      <c r="B46" s="25"/>
      <c r="C46" s="26"/>
      <c r="D46" s="2"/>
      <c r="E46" s="2"/>
      <c r="F46" s="2"/>
      <c r="G46" s="2"/>
      <c r="H46" s="2"/>
      <c r="I46" s="2"/>
      <c r="J46" s="32"/>
    </row>
    <row r="47" spans="1:10" ht="12.75">
      <c r="A47" s="33" t="s">
        <v>4</v>
      </c>
      <c r="B47" s="1" t="s">
        <v>32</v>
      </c>
      <c r="C47" s="1" t="s">
        <v>63</v>
      </c>
      <c r="D47" s="2"/>
      <c r="E47" s="2"/>
      <c r="F47" s="2"/>
      <c r="G47" s="2"/>
      <c r="H47" s="2"/>
      <c r="I47" s="2"/>
      <c r="J47" s="32"/>
    </row>
    <row r="48" spans="1:10" ht="12.75">
      <c r="A48" s="33">
        <v>10</v>
      </c>
      <c r="B48" s="1">
        <f aca="true" t="shared" si="3" ref="B48:B55">ROUND(C48*$B$9,0)</f>
        <v>53</v>
      </c>
      <c r="C48" s="1">
        <v>25</v>
      </c>
      <c r="D48" s="2"/>
      <c r="E48" s="2"/>
      <c r="F48" s="2"/>
      <c r="G48" s="2"/>
      <c r="H48" s="2"/>
      <c r="I48" s="2"/>
      <c r="J48" s="32"/>
    </row>
    <row r="49" spans="1:10" ht="12.75">
      <c r="A49" s="33">
        <v>25</v>
      </c>
      <c r="B49" s="1">
        <f t="shared" si="3"/>
        <v>47</v>
      </c>
      <c r="C49" s="1">
        <v>22</v>
      </c>
      <c r="D49" s="2"/>
      <c r="E49" s="2"/>
      <c r="F49" s="2"/>
      <c r="G49" s="2"/>
      <c r="H49" s="2"/>
      <c r="I49" s="2"/>
      <c r="J49" s="32"/>
    </row>
    <row r="50" spans="1:10" ht="12.75">
      <c r="A50" s="33">
        <v>50</v>
      </c>
      <c r="B50" s="1">
        <f t="shared" si="3"/>
        <v>43</v>
      </c>
      <c r="C50" s="1">
        <v>20</v>
      </c>
      <c r="D50" s="2"/>
      <c r="E50" s="2"/>
      <c r="F50" s="2"/>
      <c r="G50" s="2"/>
      <c r="H50" s="2"/>
      <c r="I50" s="2"/>
      <c r="J50" s="32"/>
    </row>
    <row r="51" spans="1:10" ht="12.75">
      <c r="A51" s="33">
        <v>75</v>
      </c>
      <c r="B51" s="1">
        <f t="shared" si="3"/>
        <v>38</v>
      </c>
      <c r="C51" s="1">
        <v>18</v>
      </c>
      <c r="D51" s="2"/>
      <c r="E51" s="2"/>
      <c r="F51" s="2"/>
      <c r="G51" s="2"/>
      <c r="H51" s="2"/>
      <c r="I51" s="2"/>
      <c r="J51" s="32"/>
    </row>
    <row r="52" spans="1:10" ht="12.75">
      <c r="A52" s="33">
        <v>100</v>
      </c>
      <c r="B52" s="1">
        <f t="shared" si="3"/>
        <v>34</v>
      </c>
      <c r="C52" s="1">
        <v>16</v>
      </c>
      <c r="D52" s="2"/>
      <c r="E52" s="2"/>
      <c r="F52" s="2"/>
      <c r="G52" s="2"/>
      <c r="H52" s="2"/>
      <c r="I52" s="2"/>
      <c r="J52" s="32"/>
    </row>
    <row r="53" spans="1:10" ht="12.75">
      <c r="A53" s="33">
        <v>125</v>
      </c>
      <c r="B53" s="1">
        <f t="shared" si="3"/>
        <v>32</v>
      </c>
      <c r="C53" s="1">
        <v>15</v>
      </c>
      <c r="D53" s="2"/>
      <c r="E53" s="2"/>
      <c r="F53" s="2"/>
      <c r="G53" s="2"/>
      <c r="H53" s="2"/>
      <c r="I53" s="2"/>
      <c r="J53" s="32"/>
    </row>
    <row r="54" spans="1:10" ht="12.75">
      <c r="A54" s="33">
        <v>150</v>
      </c>
      <c r="B54" s="1">
        <f t="shared" si="3"/>
        <v>30</v>
      </c>
      <c r="C54" s="1">
        <v>14</v>
      </c>
      <c r="D54" s="2"/>
      <c r="E54" s="2"/>
      <c r="F54" s="2"/>
      <c r="G54" s="2"/>
      <c r="H54" s="2"/>
      <c r="I54" s="2"/>
      <c r="J54" s="32"/>
    </row>
    <row r="55" spans="1:10" ht="12.75">
      <c r="A55" s="33">
        <v>175</v>
      </c>
      <c r="B55" s="1">
        <f t="shared" si="3"/>
        <v>28</v>
      </c>
      <c r="C55" s="1">
        <v>13</v>
      </c>
      <c r="D55" s="2"/>
      <c r="E55" s="2"/>
      <c r="F55" s="2"/>
      <c r="G55" s="2"/>
      <c r="H55" s="2"/>
      <c r="I55" s="2"/>
      <c r="J55" s="32"/>
    </row>
    <row r="56" spans="1:10" ht="12.75">
      <c r="A56" s="35" t="s">
        <v>66</v>
      </c>
      <c r="B56" s="2"/>
      <c r="C56" s="2"/>
      <c r="D56" s="2"/>
      <c r="E56" s="2"/>
      <c r="F56" s="2"/>
      <c r="G56" s="2"/>
      <c r="H56" s="2"/>
      <c r="I56" s="2"/>
      <c r="J56" s="32"/>
    </row>
    <row r="57" spans="1:10" ht="12.75">
      <c r="A57" s="45">
        <f>+H8</f>
        <v>80</v>
      </c>
      <c r="B57" s="5">
        <f>ROUND(C57*$B$9,0)</f>
        <v>39</v>
      </c>
      <c r="C57" s="57">
        <f>IF(A57&lt;10," distance ?",EXP(-0.0038*A57)*24.53)</f>
        <v>18.099727054033</v>
      </c>
      <c r="D57" s="2"/>
      <c r="E57" s="2"/>
      <c r="F57" s="2"/>
      <c r="G57" s="2"/>
      <c r="H57" s="2"/>
      <c r="I57" s="2"/>
      <c r="J57" s="32"/>
    </row>
    <row r="58" spans="1:10" ht="13.5" thickBot="1">
      <c r="A58" s="36"/>
      <c r="B58" s="37"/>
      <c r="C58" s="37"/>
      <c r="D58" s="37"/>
      <c r="E58" s="37"/>
      <c r="F58" s="37"/>
      <c r="G58" s="37"/>
      <c r="H58" s="37"/>
      <c r="I58" s="37"/>
      <c r="J58" s="38"/>
    </row>
    <row r="59" ht="13.5" thickBot="1"/>
    <row r="60" spans="1:10" ht="12.75">
      <c r="A60" s="70"/>
      <c r="B60" s="71"/>
      <c r="C60" s="71"/>
      <c r="D60" s="71"/>
      <c r="E60" s="71"/>
      <c r="F60" s="28"/>
      <c r="G60" s="28"/>
      <c r="H60" s="28"/>
      <c r="I60" s="28"/>
      <c r="J60" s="29"/>
    </row>
    <row r="61" spans="1:10" ht="12.75">
      <c r="A61" s="72"/>
      <c r="B61" s="73"/>
      <c r="C61" s="73"/>
      <c r="D61" s="73"/>
      <c r="E61" s="73"/>
      <c r="F61" s="2"/>
      <c r="G61" s="2"/>
      <c r="H61" s="2"/>
      <c r="I61" s="2"/>
      <c r="J61" s="32"/>
    </row>
    <row r="62" spans="1:10" ht="15">
      <c r="A62" s="298" t="s">
        <v>232</v>
      </c>
      <c r="B62" s="299"/>
      <c r="C62" s="300"/>
      <c r="D62" s="73"/>
      <c r="E62" s="73"/>
      <c r="F62" s="2"/>
      <c r="G62" s="2"/>
      <c r="H62" s="2"/>
      <c r="I62" s="2"/>
      <c r="J62" s="32"/>
    </row>
    <row r="63" spans="1:10" ht="12.75">
      <c r="A63" s="301" t="s">
        <v>4</v>
      </c>
      <c r="B63" s="74" t="s">
        <v>32</v>
      </c>
      <c r="C63" s="74" t="s">
        <v>63</v>
      </c>
      <c r="D63" s="73"/>
      <c r="E63" s="73"/>
      <c r="F63" s="2"/>
      <c r="G63" s="2"/>
      <c r="H63" s="2"/>
      <c r="I63" s="2"/>
      <c r="J63" s="32"/>
    </row>
    <row r="64" spans="1:10" ht="12.75">
      <c r="A64" s="302">
        <v>10</v>
      </c>
      <c r="B64" s="75">
        <f aca="true" t="shared" si="4" ref="B64:B71">ROUND(C64*$B$9,0)</f>
        <v>56</v>
      </c>
      <c r="C64" s="254">
        <v>26</v>
      </c>
      <c r="D64" s="73"/>
      <c r="E64" s="73"/>
      <c r="F64" s="2"/>
      <c r="G64" s="2"/>
      <c r="H64" s="2"/>
      <c r="I64" s="2"/>
      <c r="J64" s="32"/>
    </row>
    <row r="65" spans="1:10" ht="12.75">
      <c r="A65" s="302">
        <v>25</v>
      </c>
      <c r="B65" s="75">
        <f t="shared" si="4"/>
        <v>49</v>
      </c>
      <c r="C65" s="254">
        <v>23</v>
      </c>
      <c r="D65" s="73"/>
      <c r="E65" s="73"/>
      <c r="F65" s="2"/>
      <c r="G65" s="2"/>
      <c r="H65" s="2"/>
      <c r="I65" s="2"/>
      <c r="J65" s="32"/>
    </row>
    <row r="66" spans="1:10" ht="12.75">
      <c r="A66" s="302">
        <v>50</v>
      </c>
      <c r="B66" s="75">
        <f t="shared" si="4"/>
        <v>45</v>
      </c>
      <c r="C66" s="254">
        <v>21</v>
      </c>
      <c r="D66" s="73"/>
      <c r="E66" s="73"/>
      <c r="F66" s="2"/>
      <c r="G66" s="2"/>
      <c r="H66" s="2"/>
      <c r="I66" s="2"/>
      <c r="J66" s="32"/>
    </row>
    <row r="67" spans="1:10" ht="12.75">
      <c r="A67" s="302">
        <v>75</v>
      </c>
      <c r="B67" s="75">
        <f t="shared" si="4"/>
        <v>41</v>
      </c>
      <c r="C67" s="254">
        <v>19</v>
      </c>
      <c r="D67" s="73"/>
      <c r="E67" s="73"/>
      <c r="F67" s="2"/>
      <c r="G67" s="2"/>
      <c r="H67" s="2"/>
      <c r="I67" s="2"/>
      <c r="J67" s="32"/>
    </row>
    <row r="68" spans="1:10" ht="12.75">
      <c r="A68" s="302">
        <v>100</v>
      </c>
      <c r="B68" s="75">
        <f t="shared" si="4"/>
        <v>36</v>
      </c>
      <c r="C68" s="254">
        <v>17</v>
      </c>
      <c r="D68" s="73"/>
      <c r="E68" s="73"/>
      <c r="F68" s="2"/>
      <c r="G68" s="2"/>
      <c r="H68" s="2"/>
      <c r="I68" s="2"/>
      <c r="J68" s="32"/>
    </row>
    <row r="69" spans="1:10" ht="12.75">
      <c r="A69" s="302">
        <v>125</v>
      </c>
      <c r="B69" s="75">
        <f t="shared" si="4"/>
        <v>34</v>
      </c>
      <c r="C69" s="254">
        <v>16</v>
      </c>
      <c r="D69" s="73"/>
      <c r="E69" s="73"/>
      <c r="F69" s="2"/>
      <c r="G69" s="2"/>
      <c r="H69" s="2"/>
      <c r="I69" s="2"/>
      <c r="J69" s="32"/>
    </row>
    <row r="70" spans="1:10" ht="12.75">
      <c r="A70" s="302">
        <v>150</v>
      </c>
      <c r="B70" s="75">
        <f t="shared" si="4"/>
        <v>32</v>
      </c>
      <c r="C70" s="254">
        <v>15</v>
      </c>
      <c r="D70" s="73"/>
      <c r="E70" s="73"/>
      <c r="F70" s="2"/>
      <c r="G70" s="2"/>
      <c r="H70" s="2"/>
      <c r="I70" s="2"/>
      <c r="J70" s="32"/>
    </row>
    <row r="71" spans="1:10" ht="12.75">
      <c r="A71" s="302">
        <v>175</v>
      </c>
      <c r="B71" s="75">
        <f t="shared" si="4"/>
        <v>30</v>
      </c>
      <c r="C71" s="254">
        <v>14</v>
      </c>
      <c r="D71" s="73"/>
      <c r="E71" s="73"/>
      <c r="F71" s="2"/>
      <c r="G71" s="2"/>
      <c r="H71" s="2"/>
      <c r="I71" s="2"/>
      <c r="J71" s="32"/>
    </row>
    <row r="72" spans="1:10" ht="12.75">
      <c r="A72" s="35" t="s">
        <v>66</v>
      </c>
      <c r="B72" s="2"/>
      <c r="C72" s="2"/>
      <c r="D72" s="2"/>
      <c r="E72" s="2"/>
      <c r="F72" s="2"/>
      <c r="G72" s="2"/>
      <c r="H72" s="2"/>
      <c r="I72" s="2"/>
      <c r="J72" s="32"/>
    </row>
    <row r="73" spans="1:10" ht="12.75">
      <c r="A73" s="45">
        <f>+H9</f>
        <v>90</v>
      </c>
      <c r="B73" s="5">
        <f>ROUND(C73*$B$9,0)</f>
        <v>39</v>
      </c>
      <c r="C73" s="265">
        <f>IF(A73&lt;10," distance ?",EXP(-0.0036*A73)*25.493)</f>
        <v>18.43781842898932</v>
      </c>
      <c r="D73" s="2"/>
      <c r="E73" s="2"/>
      <c r="F73" s="2"/>
      <c r="G73" s="2"/>
      <c r="H73" s="2"/>
      <c r="I73" s="2"/>
      <c r="J73" s="32"/>
    </row>
    <row r="74" spans="1:10" ht="12.75">
      <c r="A74" s="35"/>
      <c r="B74" s="2"/>
      <c r="C74" s="2"/>
      <c r="D74" s="2"/>
      <c r="E74" s="2"/>
      <c r="F74" s="2"/>
      <c r="G74" s="2"/>
      <c r="H74" s="2"/>
      <c r="I74" s="2"/>
      <c r="J74" s="32"/>
    </row>
    <row r="75" spans="1:10" ht="13.5" thickBot="1">
      <c r="A75" s="36"/>
      <c r="B75" s="37"/>
      <c r="C75" s="37"/>
      <c r="D75" s="37"/>
      <c r="E75" s="37"/>
      <c r="F75" s="37"/>
      <c r="G75" s="37"/>
      <c r="H75" s="37"/>
      <c r="I75" s="37"/>
      <c r="J75" s="38"/>
    </row>
  </sheetData>
  <mergeCells count="8">
    <mergeCell ref="H4:K4"/>
    <mergeCell ref="E3:F3"/>
    <mergeCell ref="F9:G9"/>
    <mergeCell ref="A3:C4"/>
    <mergeCell ref="F6:G6"/>
    <mergeCell ref="F7:G7"/>
    <mergeCell ref="F8:G8"/>
    <mergeCell ref="E4:F4"/>
  </mergeCells>
  <printOptions/>
  <pageMargins left="0.75" right="0.75" top="1" bottom="1" header="0.4921259845" footer="0.4921259845"/>
  <pageSetup cellComments="asDisplayed" fitToHeight="1" fitToWidth="1" horizontalDpi="600" verticalDpi="600" orientation="portrait" scale="55" r:id="rId4"/>
  <headerFooter alignWithMargins="0">
    <oddFooter>&amp;LFile:  &amp;F
Sheet:  &amp;A
Page &amp;P of &amp;N&amp;CExperimental MIne
 Val-d'Or&amp;R&amp;D 
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68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32.7109375" style="0" customWidth="1"/>
    <col min="2" max="2" width="16.00390625" style="0" customWidth="1"/>
    <col min="3" max="3" width="8.57421875" style="0" customWidth="1"/>
    <col min="4" max="4" width="5.7109375" style="0" customWidth="1"/>
    <col min="5" max="5" width="9.57421875" style="0" customWidth="1"/>
    <col min="6" max="6" width="13.57421875" style="0" bestFit="1" customWidth="1"/>
    <col min="7" max="7" width="11.421875" style="0" customWidth="1"/>
    <col min="8" max="8" width="9.28125" style="0" customWidth="1"/>
    <col min="9" max="16384" width="11.421875" style="0" customWidth="1"/>
  </cols>
  <sheetData>
    <row r="1" spans="1:7" ht="36.75">
      <c r="A1" s="11" t="s">
        <v>68</v>
      </c>
      <c r="G1" s="320" t="s">
        <v>337</v>
      </c>
    </row>
    <row r="3" spans="1:8" ht="18">
      <c r="A3" s="516" t="s">
        <v>69</v>
      </c>
      <c r="B3" s="517"/>
      <c r="G3" s="9" t="s">
        <v>170</v>
      </c>
      <c r="H3" s="264">
        <v>8</v>
      </c>
    </row>
    <row r="4" spans="2:5" ht="12.75">
      <c r="B4" s="520" t="s">
        <v>263</v>
      </c>
      <c r="C4" s="525" t="s">
        <v>264</v>
      </c>
      <c r="D4" s="526"/>
      <c r="E4" s="527"/>
    </row>
    <row r="5" spans="1:8" ht="15.75">
      <c r="A5" s="7" t="s">
        <v>70</v>
      </c>
      <c r="B5" s="521"/>
      <c r="C5" s="528"/>
      <c r="D5" s="529"/>
      <c r="E5" s="530"/>
      <c r="F5" s="9" t="s">
        <v>71</v>
      </c>
      <c r="G5" s="9" t="s">
        <v>72</v>
      </c>
      <c r="H5" s="9" t="s">
        <v>266</v>
      </c>
    </row>
    <row r="6" spans="1:8" ht="12.75">
      <c r="A6" s="3" t="s">
        <v>254</v>
      </c>
      <c r="B6" s="264">
        <v>450</v>
      </c>
      <c r="C6" s="522">
        <v>20</v>
      </c>
      <c r="D6" s="523"/>
      <c r="E6" s="524"/>
      <c r="F6" s="77">
        <f>IF(C6&gt;0,B6/C6,IF(D6&gt;0,B6/D6,IF(E6&gt;0,B6/E6,0)))</f>
        <v>22.5</v>
      </c>
      <c r="G6" s="264">
        <v>2</v>
      </c>
      <c r="H6" s="51">
        <f>+G6/$H$3*F6</f>
        <v>5.625</v>
      </c>
    </row>
    <row r="7" spans="1:8" ht="8.25" customHeight="1">
      <c r="A7" s="8"/>
      <c r="B7" s="18"/>
      <c r="F7" s="47"/>
      <c r="G7" s="18"/>
      <c r="H7" s="53"/>
    </row>
    <row r="8" spans="1:8" ht="12.75">
      <c r="A8" s="10"/>
      <c r="B8" s="6" t="s">
        <v>259</v>
      </c>
      <c r="C8" s="392" t="s">
        <v>261</v>
      </c>
      <c r="D8" s="392"/>
      <c r="E8" s="392"/>
      <c r="F8" s="47"/>
      <c r="G8" s="18"/>
      <c r="H8" s="53"/>
    </row>
    <row r="9" spans="1:8" ht="12.75">
      <c r="A9" s="4" t="s">
        <v>255</v>
      </c>
      <c r="B9" s="323">
        <v>110</v>
      </c>
      <c r="C9" s="531">
        <v>20</v>
      </c>
      <c r="D9" s="531"/>
      <c r="E9" s="531"/>
      <c r="F9" s="77">
        <f>IF(C9&gt;0,B9/C9,IF(D9&gt;0,B9/D9,IF(E9&gt;0,B9/E9,0)))</f>
        <v>5.5</v>
      </c>
      <c r="G9" s="264">
        <v>2</v>
      </c>
      <c r="H9" s="51">
        <f>+G9/$H$3*F9</f>
        <v>1.375</v>
      </c>
    </row>
    <row r="10" spans="2:8" ht="15.75" customHeight="1">
      <c r="B10" s="18"/>
      <c r="F10" s="47"/>
      <c r="G10" s="18"/>
      <c r="H10" s="53"/>
    </row>
    <row r="11" spans="2:8" ht="12.75">
      <c r="B11" s="6" t="s">
        <v>73</v>
      </c>
      <c r="C11" s="392" t="s">
        <v>262</v>
      </c>
      <c r="D11" s="392"/>
      <c r="E11" s="392"/>
      <c r="F11" s="47"/>
      <c r="G11" s="18"/>
      <c r="H11" s="53"/>
    </row>
    <row r="12" spans="1:8" ht="12.75">
      <c r="A12" s="4" t="s">
        <v>304</v>
      </c>
      <c r="B12" s="322">
        <f>38+18</f>
        <v>56</v>
      </c>
      <c r="C12" s="532">
        <v>4</v>
      </c>
      <c r="D12" s="532"/>
      <c r="E12" s="532"/>
      <c r="F12" s="77">
        <f>IF(C12&gt;0,B12/C12,IF(D12&gt;0,B12/D12,IF(E12&gt;0,B12/E12,0)))</f>
        <v>14</v>
      </c>
      <c r="G12" s="264">
        <v>2</v>
      </c>
      <c r="H12" s="51">
        <f>+G12/$H$3*F12</f>
        <v>3.5</v>
      </c>
    </row>
    <row r="13" spans="2:8" ht="8.25" customHeight="1">
      <c r="B13" s="18"/>
      <c r="F13" s="47"/>
      <c r="G13" s="18"/>
      <c r="H13" s="53"/>
    </row>
    <row r="14" spans="1:8" ht="12.75">
      <c r="A14" s="518" t="s">
        <v>305</v>
      </c>
      <c r="B14" s="6" t="s">
        <v>260</v>
      </c>
      <c r="C14" s="392" t="s">
        <v>262</v>
      </c>
      <c r="D14" s="533"/>
      <c r="E14" s="391"/>
      <c r="F14" s="47"/>
      <c r="G14" s="18"/>
      <c r="H14" s="53"/>
    </row>
    <row r="15" spans="1:8" ht="12.75">
      <c r="A15" s="519"/>
      <c r="B15" s="322">
        <v>38</v>
      </c>
      <c r="C15" s="532">
        <v>5</v>
      </c>
      <c r="D15" s="532"/>
      <c r="E15" s="532"/>
      <c r="F15" s="77">
        <f>IF(C15&gt;0,B15/C15,IF(D15&gt;0,B15/D15,IF(E15&gt;0,B15/E15,0)))</f>
        <v>7.6</v>
      </c>
      <c r="G15" s="264">
        <v>2</v>
      </c>
      <c r="H15" s="51">
        <f>+G15/$H$3*F15</f>
        <v>1.9</v>
      </c>
    </row>
    <row r="16" spans="2:8" ht="8.25" customHeight="1">
      <c r="B16" s="18"/>
      <c r="F16" s="47"/>
      <c r="G16" s="18"/>
      <c r="H16" s="53"/>
    </row>
    <row r="17" spans="2:8" ht="12.75">
      <c r="B17" s="6" t="s">
        <v>260</v>
      </c>
      <c r="C17" s="392" t="s">
        <v>262</v>
      </c>
      <c r="D17" s="533"/>
      <c r="E17" s="391"/>
      <c r="F17" s="47"/>
      <c r="G17" s="18"/>
      <c r="H17" s="53"/>
    </row>
    <row r="18" spans="1:8" ht="12.75">
      <c r="A18" s="4" t="s">
        <v>315</v>
      </c>
      <c r="B18" s="322">
        <f>18*3</f>
        <v>54</v>
      </c>
      <c r="C18" s="532">
        <v>4</v>
      </c>
      <c r="D18" s="532"/>
      <c r="E18" s="532"/>
      <c r="F18" s="77">
        <f>IF(C18&gt;0,B18/C18,IF(D18&gt;0,B18/D18,IF(E18&gt;0,B18/E18,0)))</f>
        <v>13.5</v>
      </c>
      <c r="G18" s="264">
        <v>2</v>
      </c>
      <c r="H18" s="51">
        <f>+G18/$H$3*F18</f>
        <v>3.375</v>
      </c>
    </row>
    <row r="19" spans="2:8" ht="7.5" customHeight="1">
      <c r="B19" s="18"/>
      <c r="F19" s="47"/>
      <c r="G19" s="18"/>
      <c r="H19" s="53"/>
    </row>
    <row r="20" spans="2:8" ht="12.75">
      <c r="B20" s="6" t="s">
        <v>259</v>
      </c>
      <c r="C20" s="392" t="s">
        <v>261</v>
      </c>
      <c r="D20" s="533"/>
      <c r="E20" s="391"/>
      <c r="F20" s="47"/>
      <c r="G20" s="18"/>
      <c r="H20" s="53"/>
    </row>
    <row r="21" spans="1:8" ht="12.75">
      <c r="A21" s="4" t="s">
        <v>256</v>
      </c>
      <c r="B21" s="322">
        <v>20</v>
      </c>
      <c r="C21" s="532">
        <v>30</v>
      </c>
      <c r="D21" s="532"/>
      <c r="E21" s="532"/>
      <c r="F21" s="77">
        <f>IF(C21&gt;0,B21/C21,IF(D21&gt;0,B21/D21,IF(E21&gt;0,B21/E21,0)))</f>
        <v>0.6666666666666666</v>
      </c>
      <c r="G21" s="264">
        <v>2</v>
      </c>
      <c r="H21" s="51">
        <f>+G21/$H$3*F21</f>
        <v>0.16666666666666666</v>
      </c>
    </row>
    <row r="22" spans="2:8" ht="7.5" customHeight="1">
      <c r="B22" s="18"/>
      <c r="F22" s="47"/>
      <c r="G22" s="18"/>
      <c r="H22" s="53"/>
    </row>
    <row r="23" spans="1:8" ht="12.75">
      <c r="A23" s="518" t="s">
        <v>257</v>
      </c>
      <c r="B23" s="6" t="s">
        <v>260</v>
      </c>
      <c r="C23" s="392" t="s">
        <v>262</v>
      </c>
      <c r="D23" s="533"/>
      <c r="E23" s="391"/>
      <c r="F23" s="47"/>
      <c r="G23" s="18"/>
      <c r="H23" s="53"/>
    </row>
    <row r="24" spans="1:8" ht="12.75">
      <c r="A24" s="519"/>
      <c r="B24" s="322">
        <v>6</v>
      </c>
      <c r="C24" s="532">
        <v>0.4</v>
      </c>
      <c r="D24" s="532"/>
      <c r="E24" s="532"/>
      <c r="F24" s="77">
        <f>IF(C24&gt;0,B24/C24,IF(D24&gt;0,B24/D24,IF(E24&gt;0,B24/E24,0)))</f>
        <v>15</v>
      </c>
      <c r="G24" s="264">
        <v>2</v>
      </c>
      <c r="H24" s="51">
        <f>+G24/$H$3*F24</f>
        <v>3.75</v>
      </c>
    </row>
    <row r="25" spans="1:8" ht="6.75" customHeight="1">
      <c r="A25" s="2"/>
      <c r="H25" s="53"/>
    </row>
    <row r="26" spans="1:8" ht="12.75" customHeight="1">
      <c r="A26" s="518" t="s">
        <v>258</v>
      </c>
      <c r="B26" s="6" t="s">
        <v>260</v>
      </c>
      <c r="C26" s="392" t="s">
        <v>262</v>
      </c>
      <c r="D26" s="533"/>
      <c r="E26" s="391"/>
      <c r="F26" s="47"/>
      <c r="G26" s="18"/>
      <c r="H26" s="53"/>
    </row>
    <row r="27" spans="1:8" ht="12.75">
      <c r="A27" s="519"/>
      <c r="B27" s="322">
        <v>6</v>
      </c>
      <c r="C27" s="532">
        <v>0.9</v>
      </c>
      <c r="D27" s="532"/>
      <c r="E27" s="532"/>
      <c r="F27" s="77">
        <f>IF(C27&gt;0,B27/C27,IF(D27&gt;0,B27/D27,IF(E27&gt;0,B27/E27,0)))</f>
        <v>6.666666666666666</v>
      </c>
      <c r="G27" s="264">
        <v>2</v>
      </c>
      <c r="H27" s="51">
        <f>+G27/$H$3*F27</f>
        <v>1.6666666666666665</v>
      </c>
    </row>
    <row r="28" spans="1:8" ht="6.75" customHeight="1">
      <c r="A28" s="2"/>
      <c r="H28" s="53"/>
    </row>
    <row r="29" ht="6.75" customHeight="1" thickBot="1">
      <c r="A29" s="2"/>
    </row>
    <row r="30" spans="1:8" ht="15.75" thickBot="1">
      <c r="A30" s="534" t="s">
        <v>265</v>
      </c>
      <c r="B30" s="535"/>
      <c r="C30" s="535"/>
      <c r="D30" s="535"/>
      <c r="E30" s="535"/>
      <c r="F30" s="536"/>
      <c r="G30" s="324">
        <v>2.45</v>
      </c>
      <c r="H30" t="s">
        <v>23</v>
      </c>
    </row>
    <row r="31" spans="1:8" ht="13.5" customHeight="1">
      <c r="A31" s="235" t="s">
        <v>292</v>
      </c>
      <c r="H31" s="53"/>
    </row>
    <row r="32" spans="1:8" ht="13.5" customHeight="1" thickBot="1">
      <c r="A32" s="235"/>
      <c r="H32" s="329" t="s">
        <v>266</v>
      </c>
    </row>
    <row r="33" spans="5:8" ht="15.75" thickBot="1">
      <c r="E33" s="78" t="s">
        <v>74</v>
      </c>
      <c r="G33" s="310" t="s">
        <v>20</v>
      </c>
      <c r="H33" s="242">
        <f>ROUNDUP(SUM(H5:H25)/(H3-G30)*H3,0)</f>
        <v>29</v>
      </c>
    </row>
    <row r="34" spans="5:8" ht="15.75" thickBot="1">
      <c r="E34" s="78" t="s">
        <v>75</v>
      </c>
      <c r="G34" s="311" t="s">
        <v>20</v>
      </c>
      <c r="H34" s="241">
        <f>ROUNDUP((SUM(H6:H15)+H21+H27)/(H3-G30)*H3,0)</f>
        <v>21</v>
      </c>
    </row>
    <row r="35" spans="4:9" ht="12.75">
      <c r="D35" s="12"/>
      <c r="I35" s="18"/>
    </row>
    <row r="37" spans="1:8" ht="18">
      <c r="A37" s="516" t="s">
        <v>306</v>
      </c>
      <c r="B37" s="517"/>
      <c r="G37" s="9" t="s">
        <v>22</v>
      </c>
      <c r="H37" s="249">
        <f>+H3</f>
        <v>8</v>
      </c>
    </row>
    <row r="39" spans="1:6" ht="15.75">
      <c r="A39" s="7" t="s">
        <v>76</v>
      </c>
      <c r="B39" s="9" t="s">
        <v>71</v>
      </c>
      <c r="C39" s="9" t="s">
        <v>72</v>
      </c>
      <c r="D39" s="9" t="s">
        <v>77</v>
      </c>
      <c r="F39" s="539" t="s">
        <v>273</v>
      </c>
    </row>
    <row r="40" spans="1:8" ht="12.75">
      <c r="A40" s="4" t="s">
        <v>268</v>
      </c>
      <c r="B40" s="308">
        <f>+G30</f>
        <v>2.45</v>
      </c>
      <c r="C40" s="264">
        <v>2</v>
      </c>
      <c r="D40" s="307">
        <f>+C40/$H$3*B40</f>
        <v>0.6125</v>
      </c>
      <c r="F40" s="540"/>
      <c r="G40" s="533" t="s">
        <v>267</v>
      </c>
      <c r="H40" s="391"/>
    </row>
    <row r="41" spans="1:8" ht="12.75">
      <c r="A41" s="3" t="s">
        <v>269</v>
      </c>
      <c r="B41" s="263">
        <v>0.75</v>
      </c>
      <c r="C41" s="264">
        <v>2</v>
      </c>
      <c r="D41" s="307">
        <f>+C41/$H$3*B41</f>
        <v>0.1875</v>
      </c>
      <c r="F41" s="325">
        <v>400</v>
      </c>
      <c r="G41" s="541">
        <f>110/1.97</f>
        <v>55.83756345177665</v>
      </c>
      <c r="H41" s="542"/>
    </row>
    <row r="42" spans="1:4" ht="12.75">
      <c r="A42" s="3" t="s">
        <v>270</v>
      </c>
      <c r="B42" s="263">
        <f>5/60</f>
        <v>0.08333333333333333</v>
      </c>
      <c r="C42" s="264">
        <v>2</v>
      </c>
      <c r="D42" s="307">
        <f>+C42/$H$3*B42</f>
        <v>0.020833333333333332</v>
      </c>
    </row>
    <row r="43" spans="1:4" ht="12.75">
      <c r="A43" s="3" t="s">
        <v>271</v>
      </c>
      <c r="B43" s="307">
        <f>+F41/G41</f>
        <v>7.163636363636363</v>
      </c>
      <c r="C43" s="264">
        <v>2</v>
      </c>
      <c r="D43" s="307">
        <f>+C43/$H$3*B43</f>
        <v>1.7909090909090908</v>
      </c>
    </row>
    <row r="44" spans="1:4" ht="16.5" customHeight="1">
      <c r="A44" s="3" t="s">
        <v>272</v>
      </c>
      <c r="B44" s="263">
        <v>0.3</v>
      </c>
      <c r="C44" s="264">
        <v>2</v>
      </c>
      <c r="D44" s="307">
        <f>+C44/$H$3*B44</f>
        <v>0.075</v>
      </c>
    </row>
    <row r="45" ht="13.5" thickBot="1">
      <c r="D45" s="50"/>
    </row>
    <row r="46" spans="3:5" ht="13.5" thickBot="1">
      <c r="C46" s="239" t="s">
        <v>0</v>
      </c>
      <c r="D46" s="129">
        <f>SUM(D40:D45)</f>
        <v>2.6867424242424245</v>
      </c>
      <c r="E46" t="s">
        <v>224</v>
      </c>
    </row>
    <row r="49" spans="1:8" ht="18">
      <c r="A49" s="516" t="s">
        <v>78</v>
      </c>
      <c r="B49" s="517"/>
      <c r="G49" s="9" t="s">
        <v>22</v>
      </c>
      <c r="H49" s="249">
        <f>+H3</f>
        <v>8</v>
      </c>
    </row>
    <row r="52" ht="12.75" customHeight="1">
      <c r="F52" s="539" t="s">
        <v>273</v>
      </c>
    </row>
    <row r="53" spans="1:8" ht="18.75" customHeight="1">
      <c r="A53" s="7" t="s">
        <v>76</v>
      </c>
      <c r="B53" s="9" t="s">
        <v>71</v>
      </c>
      <c r="F53" s="540"/>
      <c r="G53" s="533" t="s">
        <v>267</v>
      </c>
      <c r="H53" s="391"/>
    </row>
    <row r="54" spans="1:8" ht="12.75" customHeight="1">
      <c r="A54" s="4" t="s">
        <v>268</v>
      </c>
      <c r="B54" s="307">
        <f>+G30</f>
        <v>2.45</v>
      </c>
      <c r="F54" s="309">
        <f>+F41</f>
        <v>400</v>
      </c>
      <c r="G54" s="537">
        <f>+G41</f>
        <v>55.83756345177665</v>
      </c>
      <c r="H54" s="538"/>
    </row>
    <row r="55" spans="1:2" ht="12.75">
      <c r="A55" s="3" t="s">
        <v>269</v>
      </c>
      <c r="B55" s="307">
        <f>+B41</f>
        <v>0.75</v>
      </c>
    </row>
    <row r="56" spans="1:4" ht="12.75">
      <c r="A56" s="3" t="s">
        <v>270</v>
      </c>
      <c r="B56" s="307">
        <f>+B42</f>
        <v>0.08333333333333333</v>
      </c>
      <c r="D56" s="1" t="s">
        <v>99</v>
      </c>
    </row>
    <row r="57" spans="1:4" ht="12.75">
      <c r="A57" s="3" t="s">
        <v>274</v>
      </c>
      <c r="B57" s="307">
        <f>H49-(B58+B56+B55+B54)</f>
        <v>4.416666666666666</v>
      </c>
      <c r="D57" s="249">
        <f>+B57*G54</f>
        <v>246.61590524534685</v>
      </c>
    </row>
    <row r="58" spans="1:2" ht="12.75">
      <c r="A58" s="3" t="s">
        <v>272</v>
      </c>
      <c r="B58" s="307">
        <f>+B44</f>
        <v>0.3</v>
      </c>
    </row>
    <row r="59" spans="2:8" ht="13.5" thickBot="1">
      <c r="B59" s="18"/>
      <c r="C59" s="546" t="s">
        <v>72</v>
      </c>
      <c r="D59" s="546"/>
      <c r="H59" s="240" t="s">
        <v>266</v>
      </c>
    </row>
    <row r="60" spans="1:8" ht="16.5" thickBot="1">
      <c r="A60" s="7" t="s">
        <v>275</v>
      </c>
      <c r="B60" s="307">
        <f>+F54/D57</f>
        <v>1.6219554030874788</v>
      </c>
      <c r="C60" s="532">
        <v>2</v>
      </c>
      <c r="D60" s="532"/>
      <c r="G60" s="310" t="s">
        <v>20</v>
      </c>
      <c r="H60" s="129">
        <f>+B60*C60</f>
        <v>3.2439108061749575</v>
      </c>
    </row>
    <row r="62" ht="13.5" thickBot="1"/>
    <row r="63" spans="1:7" ht="18.75" thickBot="1">
      <c r="A63" s="543" t="s">
        <v>276</v>
      </c>
      <c r="B63" s="544"/>
      <c r="C63" s="544"/>
      <c r="D63" s="544"/>
      <c r="E63" s="544"/>
      <c r="F63" s="544"/>
      <c r="G63" s="545"/>
    </row>
    <row r="64" ht="13.5" thickBot="1"/>
    <row r="65" spans="2:4" ht="19.5" customHeight="1" thickBot="1">
      <c r="B65" s="548" t="s">
        <v>79</v>
      </c>
      <c r="C65" s="549"/>
      <c r="D65" s="550"/>
    </row>
    <row r="66" spans="1:4" ht="19.5" customHeight="1" thickBot="1">
      <c r="A66" s="243" t="s">
        <v>69</v>
      </c>
      <c r="B66" s="236" t="s">
        <v>119</v>
      </c>
      <c r="C66" s="547" t="s">
        <v>80</v>
      </c>
      <c r="D66" s="547"/>
    </row>
    <row r="67" spans="1:4" ht="19.5" customHeight="1">
      <c r="A67" s="237" t="s">
        <v>307</v>
      </c>
      <c r="B67" s="51">
        <f>+H33+D46</f>
        <v>31.686742424242425</v>
      </c>
      <c r="C67" s="366">
        <f>+H33+H60</f>
        <v>32.24391080617496</v>
      </c>
      <c r="D67" s="366"/>
    </row>
    <row r="68" spans="1:4" ht="19.5" customHeight="1">
      <c r="A68" s="238" t="s">
        <v>308</v>
      </c>
      <c r="B68" s="51">
        <f>+H34+D46</f>
        <v>23.686742424242425</v>
      </c>
      <c r="C68" s="366">
        <f>+H34+H60</f>
        <v>24.24391080617496</v>
      </c>
      <c r="D68" s="366"/>
    </row>
  </sheetData>
  <mergeCells count="37">
    <mergeCell ref="C67:D67"/>
    <mergeCell ref="C68:D68"/>
    <mergeCell ref="A63:G63"/>
    <mergeCell ref="C15:E15"/>
    <mergeCell ref="C59:D59"/>
    <mergeCell ref="C60:D60"/>
    <mergeCell ref="C66:D66"/>
    <mergeCell ref="B65:D65"/>
    <mergeCell ref="C17:E17"/>
    <mergeCell ref="C18:E18"/>
    <mergeCell ref="G53:H53"/>
    <mergeCell ref="G54:H54"/>
    <mergeCell ref="F52:F53"/>
    <mergeCell ref="G40:H40"/>
    <mergeCell ref="G41:H41"/>
    <mergeCell ref="F39:F40"/>
    <mergeCell ref="A37:B37"/>
    <mergeCell ref="A49:B49"/>
    <mergeCell ref="C20:E20"/>
    <mergeCell ref="C21:E21"/>
    <mergeCell ref="C23:E23"/>
    <mergeCell ref="C24:E24"/>
    <mergeCell ref="A23:A24"/>
    <mergeCell ref="A26:A27"/>
    <mergeCell ref="C26:E26"/>
    <mergeCell ref="A30:F30"/>
    <mergeCell ref="C27:E27"/>
    <mergeCell ref="C11:E11"/>
    <mergeCell ref="C12:E12"/>
    <mergeCell ref="C14:E14"/>
    <mergeCell ref="A3:B3"/>
    <mergeCell ref="A14:A15"/>
    <mergeCell ref="B4:B5"/>
    <mergeCell ref="C6:E6"/>
    <mergeCell ref="C4:E5"/>
    <mergeCell ref="C8:E8"/>
    <mergeCell ref="C9:E9"/>
  </mergeCells>
  <printOptions/>
  <pageMargins left="0.75" right="0.75" top="1" bottom="1" header="0.4921259845" footer="0.4921259845"/>
  <pageSetup cellComments="asDisplayed" fitToHeight="1" fitToWidth="1" horizontalDpi="600" verticalDpi="600" orientation="portrait" scale="71" r:id="rId3"/>
  <headerFooter alignWithMargins="0">
    <oddFooter>&amp;LFile:  &amp;F
Sheet:  &amp;A
Page &amp;P of &amp;N&amp;CExperimental Mine
Val-d'Or&amp;R&amp;D
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3">
      <selection activeCell="H34" sqref="H34"/>
    </sheetView>
  </sheetViews>
  <sheetFormatPr defaultColWidth="9.140625" defaultRowHeight="12.75"/>
  <cols>
    <col min="1" max="16384" width="11.421875" style="0" customWidth="1"/>
  </cols>
  <sheetData>
    <row r="1" spans="1:6" ht="18">
      <c r="A1" s="233" t="s">
        <v>293</v>
      </c>
      <c r="B1" s="28"/>
      <c r="C1" s="28"/>
      <c r="D1" s="28"/>
      <c r="E1" s="28"/>
      <c r="F1" s="29"/>
    </row>
    <row r="2" spans="1:6" ht="12.75">
      <c r="A2" s="35"/>
      <c r="B2" s="2"/>
      <c r="C2" s="2"/>
      <c r="D2" s="2"/>
      <c r="E2" s="2"/>
      <c r="F2" s="32"/>
    </row>
    <row r="3" spans="1:6" ht="12.75">
      <c r="A3" s="35"/>
      <c r="B3" s="2"/>
      <c r="C3" s="2"/>
      <c r="D3" s="2"/>
      <c r="E3" s="2"/>
      <c r="F3" s="32"/>
    </row>
    <row r="4" spans="1:6" ht="12.75">
      <c r="A4" s="35"/>
      <c r="B4" s="2"/>
      <c r="C4" s="2"/>
      <c r="D4" s="2"/>
      <c r="E4" s="2"/>
      <c r="F4" s="32"/>
    </row>
    <row r="5" spans="1:6" ht="12.75">
      <c r="A5" s="35"/>
      <c r="B5" s="2"/>
      <c r="C5" s="2"/>
      <c r="D5" s="2"/>
      <c r="E5" s="2"/>
      <c r="F5" s="32"/>
    </row>
    <row r="6" spans="1:6" ht="12.75">
      <c r="A6" s="35"/>
      <c r="B6" s="2"/>
      <c r="C6" s="2"/>
      <c r="D6" s="2"/>
      <c r="E6" s="2"/>
      <c r="F6" s="32"/>
    </row>
    <row r="7" spans="1:6" ht="12.75">
      <c r="A7" s="35"/>
      <c r="B7" s="2"/>
      <c r="C7" s="2"/>
      <c r="D7" s="2"/>
      <c r="E7" s="2"/>
      <c r="F7" s="32"/>
    </row>
    <row r="8" spans="1:6" ht="12.75">
      <c r="A8" s="35"/>
      <c r="B8" s="2"/>
      <c r="C8" s="2"/>
      <c r="D8" s="2"/>
      <c r="E8" s="2"/>
      <c r="F8" s="32"/>
    </row>
    <row r="9" spans="1:6" ht="12.75">
      <c r="A9" s="35"/>
      <c r="B9" s="2"/>
      <c r="C9" s="2"/>
      <c r="D9" s="2"/>
      <c r="E9" s="2"/>
      <c r="F9" s="32"/>
    </row>
    <row r="10" spans="1:6" ht="12.75">
      <c r="A10" s="35"/>
      <c r="B10" s="2"/>
      <c r="C10" s="2"/>
      <c r="D10" s="2"/>
      <c r="E10" s="2"/>
      <c r="F10" s="32"/>
    </row>
    <row r="11" spans="1:6" ht="13.5" thickBot="1">
      <c r="A11" s="36"/>
      <c r="B11" s="37"/>
      <c r="C11" s="37"/>
      <c r="D11" s="37"/>
      <c r="E11" s="37"/>
      <c r="F11" s="38"/>
    </row>
    <row r="12" spans="1:6" ht="18">
      <c r="A12" s="233" t="s">
        <v>294</v>
      </c>
      <c r="B12" s="2"/>
      <c r="C12" s="2"/>
      <c r="D12" s="2"/>
      <c r="E12" s="2"/>
      <c r="F12" s="32"/>
    </row>
    <row r="13" spans="1:6" ht="12.75">
      <c r="A13" s="35"/>
      <c r="B13" s="2"/>
      <c r="C13" s="2"/>
      <c r="D13" s="2"/>
      <c r="E13" s="2"/>
      <c r="F13" s="32"/>
    </row>
    <row r="14" spans="1:6" ht="12.75">
      <c r="A14" s="35"/>
      <c r="B14" s="2"/>
      <c r="C14" s="2"/>
      <c r="D14" s="2"/>
      <c r="E14" s="2"/>
      <c r="F14" s="32"/>
    </row>
    <row r="15" spans="1:6" ht="12.75">
      <c r="A15" s="35"/>
      <c r="B15" s="2"/>
      <c r="C15" s="2"/>
      <c r="D15" s="2"/>
      <c r="E15" s="2"/>
      <c r="F15" s="32"/>
    </row>
    <row r="16" spans="1:6" ht="12.75">
      <c r="A16" s="35"/>
      <c r="B16" s="2"/>
      <c r="C16" s="2"/>
      <c r="D16" s="2"/>
      <c r="E16" s="2"/>
      <c r="F16" s="32"/>
    </row>
    <row r="17" spans="1:6" ht="12.75">
      <c r="A17" s="35"/>
      <c r="B17" s="2"/>
      <c r="C17" s="2"/>
      <c r="D17" s="2"/>
      <c r="E17" s="2"/>
      <c r="F17" s="32"/>
    </row>
    <row r="18" spans="1:6" ht="12.75">
      <c r="A18" s="35"/>
      <c r="B18" s="2"/>
      <c r="C18" s="2"/>
      <c r="D18" s="2"/>
      <c r="E18" s="2"/>
      <c r="F18" s="32"/>
    </row>
    <row r="19" spans="1:6" ht="12.75">
      <c r="A19" s="35"/>
      <c r="B19" s="2"/>
      <c r="C19" s="2"/>
      <c r="D19" s="2"/>
      <c r="E19" s="2"/>
      <c r="F19" s="32"/>
    </row>
    <row r="20" spans="1:6" ht="12.75">
      <c r="A20" s="35"/>
      <c r="B20" s="2"/>
      <c r="C20" s="2"/>
      <c r="D20" s="2"/>
      <c r="E20" s="2"/>
      <c r="F20" s="32"/>
    </row>
    <row r="21" spans="1:6" ht="12.75">
      <c r="A21" s="35"/>
      <c r="B21" s="2"/>
      <c r="C21" s="2"/>
      <c r="D21" s="2"/>
      <c r="E21" s="2"/>
      <c r="F21" s="32"/>
    </row>
    <row r="22" spans="1:6" ht="13.5" thickBot="1">
      <c r="A22" s="36"/>
      <c r="B22" s="37"/>
      <c r="C22" s="37"/>
      <c r="D22" s="37"/>
      <c r="E22" s="37"/>
      <c r="F22" s="38"/>
    </row>
    <row r="23" spans="1:6" ht="18">
      <c r="A23" s="247" t="s">
        <v>295</v>
      </c>
      <c r="B23" s="28"/>
      <c r="C23" s="28"/>
      <c r="D23" s="28"/>
      <c r="E23" s="28"/>
      <c r="F23" s="29"/>
    </row>
    <row r="24" spans="1:6" ht="12.75">
      <c r="A24" s="35"/>
      <c r="C24" s="2"/>
      <c r="D24" s="2"/>
      <c r="E24" s="2"/>
      <c r="F24" s="32"/>
    </row>
    <row r="25" spans="1:6" ht="12.75">
      <c r="A25" s="35"/>
      <c r="B25" s="2"/>
      <c r="C25" s="2"/>
      <c r="D25" s="2"/>
      <c r="E25" s="2"/>
      <c r="F25" s="32"/>
    </row>
    <row r="26" spans="1:6" ht="12.75">
      <c r="A26" s="35"/>
      <c r="B26" s="2"/>
      <c r="C26" s="2"/>
      <c r="D26" s="2"/>
      <c r="E26" s="2"/>
      <c r="F26" s="32"/>
    </row>
    <row r="27" spans="1:6" ht="12.75">
      <c r="A27" s="35"/>
      <c r="B27" s="2"/>
      <c r="C27" s="2"/>
      <c r="D27" s="2"/>
      <c r="E27" s="2"/>
      <c r="F27" s="32"/>
    </row>
    <row r="28" spans="1:6" ht="12.75">
      <c r="A28" s="35"/>
      <c r="B28" s="2"/>
      <c r="C28" s="2"/>
      <c r="D28" s="2"/>
      <c r="E28" s="2"/>
      <c r="F28" s="32"/>
    </row>
    <row r="29" spans="1:6" ht="12.75">
      <c r="A29" s="35"/>
      <c r="B29" s="2"/>
      <c r="C29" s="2"/>
      <c r="D29" s="2"/>
      <c r="E29" s="2"/>
      <c r="F29" s="32"/>
    </row>
    <row r="30" spans="1:6" ht="12.75">
      <c r="A30" s="35"/>
      <c r="B30" s="2"/>
      <c r="C30" s="2"/>
      <c r="D30" s="2"/>
      <c r="E30" s="2"/>
      <c r="F30" s="32"/>
    </row>
    <row r="31" spans="1:6" ht="12.75">
      <c r="A31" s="35"/>
      <c r="B31" s="2"/>
      <c r="C31" s="2"/>
      <c r="D31" s="2"/>
      <c r="E31" s="2"/>
      <c r="F31" s="32"/>
    </row>
    <row r="32" spans="1:6" ht="12.75">
      <c r="A32" s="35"/>
      <c r="B32" s="2"/>
      <c r="C32" s="2"/>
      <c r="D32" s="2"/>
      <c r="E32" s="2"/>
      <c r="F32" s="32"/>
    </row>
    <row r="33" spans="1:6" ht="12.75">
      <c r="A33" s="35"/>
      <c r="B33" s="2"/>
      <c r="C33" s="2"/>
      <c r="D33" s="2"/>
      <c r="E33" s="2"/>
      <c r="F33" s="32"/>
    </row>
    <row r="34" spans="1:6" ht="12.75">
      <c r="A34" s="35"/>
      <c r="B34" s="2"/>
      <c r="C34" s="2"/>
      <c r="D34" s="2"/>
      <c r="E34" s="2"/>
      <c r="F34" s="32"/>
    </row>
    <row r="35" spans="1:6" ht="13.5" thickBot="1">
      <c r="A35" s="36"/>
      <c r="B35" s="37"/>
      <c r="C35" s="37"/>
      <c r="D35" s="37"/>
      <c r="E35" s="37"/>
      <c r="F35" s="38"/>
    </row>
  </sheetData>
  <printOptions/>
  <pageMargins left="0.75" right="0.75" top="1" bottom="1" header="0.4921259845" footer="0.4921259845"/>
  <pageSetup horizontalDpi="600" verticalDpi="600" orientation="portrait" scale="130" r:id="rId2"/>
  <headerFooter alignWithMargins="0">
    <oddFooter>&amp;L&amp;8&amp;XFile:  &amp;F
Sheet:  &amp;A&amp;C&amp;8&amp;XExperimental Mine
 Val-d'Or&amp;R&amp;8&amp;X&amp;D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2002-07-09T14:03:26Z</cp:lastPrinted>
  <dcterms:created xsi:type="dcterms:W3CDTF">2000-05-03T18:12:35Z</dcterms:created>
  <dcterms:modified xsi:type="dcterms:W3CDTF">2004-05-12T17:17:56Z</dcterms:modified>
  <cp:category/>
  <cp:version/>
  <cp:contentType/>
  <cp:contentStatus/>
</cp:coreProperties>
</file>