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1970" windowHeight="2925" activeTab="0"/>
  </bookViews>
  <sheets>
    <sheet name="Chantier" sheetId="1" r:id="rId1"/>
    <sheet name="Développement" sheetId="2" r:id="rId2"/>
    <sheet name="Dessin" sheetId="3" r:id="rId3"/>
  </sheets>
  <definedNames>
    <definedName name="_xlnm.Print_Area" localSheetId="0">'Chantier'!$A$4:$I$264</definedName>
    <definedName name="_xlnm.Print_Titles" localSheetId="0">'Chantier'!$1:$3</definedName>
    <definedName name="Z_2BC40D40_13F4_11D5_97CF_00B0D01AB7C9_.wvu.PrintArea" localSheetId="0" hidden="1">'Chantier'!$A$4:$I$264</definedName>
    <definedName name="Z_2BC40D40_13F4_11D5_97CF_00B0D01AB7C9_.wvu.PrintTitles" localSheetId="0" hidden="1">'Chantier'!$1:$3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D161" authorId="0">
      <text>
        <r>
          <rPr>
            <b/>
            <sz val="10"/>
            <rFont val="Tahoma"/>
            <family val="2"/>
          </rPr>
          <t>Entrer le nombre de chantiers actifs en fonction du niveau de production désiré</t>
        </r>
      </text>
    </comment>
    <comment ref="D141" authorId="0">
      <text>
        <r>
          <rPr>
            <b/>
            <sz val="10"/>
            <rFont val="Tahoma"/>
            <family val="2"/>
          </rPr>
          <t>Entrer le taux de déblayage durant la phase de sautage du chantier</t>
        </r>
      </text>
    </comment>
    <comment ref="B10" authorId="0">
      <text>
        <r>
          <rPr>
            <b/>
            <sz val="10"/>
            <rFont val="Tahoma"/>
            <family val="2"/>
          </rPr>
          <t>Mesurée perpendiculairement au gisement</t>
        </r>
      </text>
    </comment>
    <comment ref="E17" authorId="0">
      <text>
        <r>
          <rPr>
            <b/>
            <sz val="10"/>
            <rFont val="Tahoma"/>
            <family val="2"/>
          </rPr>
          <t>Dilution supplémentaire à celle déjà incluse aux réserves géologiques.
Voir le fichier "Dilution_chantier" si vous désirez vérifier votre estimation.</t>
        </r>
      </text>
    </comment>
    <comment ref="D126" authorId="0">
      <text>
        <r>
          <rPr>
            <b/>
            <sz val="10"/>
            <rFont val="Tahoma"/>
            <family val="2"/>
          </rPr>
          <t>Voir le fichier "Productivité_Longs Trous" si vous désirez vérifier la productivité pour votre opération</t>
        </r>
      </text>
    </comment>
    <comment ref="I100" authorId="0">
      <text>
        <r>
          <rPr>
            <b/>
            <sz val="11"/>
            <rFont val="Tahoma"/>
            <family val="2"/>
          </rPr>
          <t>Identifier le chemin critique en entrant des chiffres différents</t>
        </r>
        <r>
          <rPr>
            <sz val="11"/>
            <rFont val="Tahoma"/>
            <family val="2"/>
          </rPr>
          <t xml:space="preserve">
</t>
        </r>
      </text>
    </comment>
    <comment ref="D86" authorId="0">
      <text>
        <r>
          <rPr>
            <b/>
            <sz val="11"/>
            <rFont val="Tahoma"/>
            <family val="2"/>
          </rPr>
          <t xml:space="preserve">Ce pourcentage augmente le temps de développement (voir cellules E118 et E119)
</t>
        </r>
      </text>
    </comment>
    <comment ref="C144" authorId="0">
      <text>
        <r>
          <rPr>
            <b/>
            <sz val="10"/>
            <rFont val="Tahoma"/>
            <family val="2"/>
          </rPr>
          <t>Voir l'onglet "Développement" pour déterminer le tonnage non récupéré</t>
        </r>
        <r>
          <rPr>
            <sz val="10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0"/>
            <rFont val="Tahoma"/>
            <family val="2"/>
          </rPr>
          <t>Hauteur du chantier à miner, incluant les sous-niveaux</t>
        </r>
      </text>
    </comment>
    <comment ref="I91" authorId="0">
      <text>
        <r>
          <rPr>
            <b/>
            <sz val="11"/>
            <rFont val="Tahoma"/>
            <family val="2"/>
          </rPr>
          <t>Identifier le chemin critique en entrant des chiffres différents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C14" authorId="0">
      <text>
        <r>
          <rPr>
            <b/>
            <sz val="10"/>
            <rFont val="Tahoma"/>
            <family val="2"/>
          </rPr>
          <t>Dans le cas où le point de soutirage demeure plein de minerai, il faut inscrire "0" dans la largeur du point de soutirage</t>
        </r>
      </text>
    </comment>
  </commentList>
</comments>
</file>

<file path=xl/sharedStrings.xml><?xml version="1.0" encoding="utf-8"?>
<sst xmlns="http://schemas.openxmlformats.org/spreadsheetml/2006/main" count="383" uniqueCount="213">
  <si>
    <t>tonnes</t>
  </si>
  <si>
    <t>Paramètres physiques</t>
  </si>
  <si>
    <t>Paramètres des points de soutirage</t>
  </si>
  <si>
    <t>PS aux extrémités</t>
  </si>
  <si>
    <t>Nombre</t>
  </si>
  <si>
    <t>Perte entre les points de soutirage</t>
  </si>
  <si>
    <t>Hauteur</t>
  </si>
  <si>
    <t>Monterie</t>
  </si>
  <si>
    <t>Minerai usiné</t>
  </si>
  <si>
    <t>hommes</t>
  </si>
  <si>
    <t>quarts</t>
  </si>
  <si>
    <t>mois</t>
  </si>
  <si>
    <t>tonnes/quart</t>
  </si>
  <si>
    <t>foisonnement</t>
  </si>
  <si>
    <t>TOTAL</t>
  </si>
  <si>
    <t>Dimensions</t>
  </si>
  <si>
    <t>CHANTIER</t>
  </si>
  <si>
    <t>DÉVELOPPEMENT</t>
  </si>
  <si>
    <t>MONTERIE</t>
  </si>
  <si>
    <t>Résumé</t>
  </si>
  <si>
    <t>Épaisseur du pilier entre la monterie et le chantier</t>
  </si>
  <si>
    <t>PAR LE NIVEAU</t>
  </si>
  <si>
    <t>SUPÉRIEUR</t>
  </si>
  <si>
    <t>INFÉRIEUR</t>
  </si>
  <si>
    <t xml:space="preserve">TOTAL </t>
  </si>
  <si>
    <t>3.0 - Calcul de la production en chantier</t>
  </si>
  <si>
    <t>3.2 - Calcul de la vie du chantier</t>
  </si>
  <si>
    <t>Ouverture pour Alimak</t>
  </si>
  <si>
    <t>Autres ouvertures</t>
  </si>
  <si>
    <t>°</t>
  </si>
  <si>
    <t>4.0 - Remblayage</t>
  </si>
  <si>
    <t>PS</t>
  </si>
  <si>
    <t>Autres</t>
  </si>
  <si>
    <t>Durée effective de remblayage par quart</t>
  </si>
  <si>
    <t xml:space="preserve"> ou</t>
  </si>
  <si>
    <t>Séquence</t>
  </si>
  <si>
    <r>
      <t>3</t>
    </r>
    <r>
      <rPr>
        <i/>
        <u val="single"/>
        <sz val="12"/>
        <rFont val="Arial Black"/>
        <family val="2"/>
      </rPr>
      <t>.3 - Calcul de la production en fonction du nombre de chantiers actifs</t>
    </r>
  </si>
  <si>
    <t>Minerai des réserves</t>
  </si>
  <si>
    <t>Stérile</t>
  </si>
  <si>
    <t>Monterie principale</t>
  </si>
  <si>
    <t>DÉVELOPPEMENT + CHANTIER</t>
  </si>
  <si>
    <t>Monterie d'ouverture</t>
  </si>
  <si>
    <t>Total</t>
  </si>
  <si>
    <t>1.0 - Paramètres physiques du chantier</t>
  </si>
  <si>
    <t>jours ouvrables</t>
  </si>
  <si>
    <t xml:space="preserve"> jours ouvrables</t>
  </si>
  <si>
    <t>Nombre de quarts requis</t>
  </si>
  <si>
    <t>tonnes/heure</t>
  </si>
  <si>
    <t>tonnes/m³</t>
  </si>
  <si>
    <t>Différence d'élévation (m)</t>
  </si>
  <si>
    <t>Longueur (m)</t>
  </si>
  <si>
    <t>Vue transversale</t>
  </si>
  <si>
    <t>Espacement réel entre les sous-niveaux (m)</t>
  </si>
  <si>
    <t>Angle de repos</t>
  </si>
  <si>
    <t>mètres</t>
  </si>
  <si>
    <t>Nombre de sous-niveaux</t>
  </si>
  <si>
    <t>Points de soutirage</t>
  </si>
  <si>
    <t>Galeries inférieures</t>
  </si>
  <si>
    <t>Galeries supérieures</t>
  </si>
  <si>
    <t>Galeries</t>
  </si>
  <si>
    <t>Durée de vie du chantier (production)</t>
  </si>
  <si>
    <t>Minerai dilué (Dév.)</t>
  </si>
  <si>
    <t>Volume (m³)</t>
  </si>
  <si>
    <t>Chantier typique</t>
  </si>
  <si>
    <t>Largeur (m)</t>
  </si>
  <si>
    <t>Hauteur verticale (m)</t>
  </si>
  <si>
    <t>Pendage (°)</t>
  </si>
  <si>
    <t>Hauteur selon le pendage (m)</t>
  </si>
  <si>
    <t>Densité (t/m³)</t>
  </si>
  <si>
    <t>Facteur de</t>
  </si>
  <si>
    <t>Évaluation de chantier en Longs Trous</t>
  </si>
  <si>
    <t>Tonnage</t>
  </si>
  <si>
    <t xml:space="preserve">Dilution </t>
  </si>
  <si>
    <t>Teneur (g/t)</t>
  </si>
  <si>
    <t>2.0 - Développement du chantier</t>
  </si>
  <si>
    <t>2.1 - Paramètres du développement</t>
  </si>
  <si>
    <t>Largeur</t>
  </si>
  <si>
    <t>T/m d'avance</t>
  </si>
  <si>
    <t># d'hommes</t>
  </si>
  <si>
    <t>Mètres d'avance/q</t>
  </si>
  <si>
    <t>Mètres d'avance/q-h</t>
  </si>
  <si>
    <t>Galerie 1</t>
  </si>
  <si>
    <t>Galerie 2</t>
  </si>
  <si>
    <t xml:space="preserve">Monterie boisée </t>
  </si>
  <si>
    <t xml:space="preserve">Monterie Alimak </t>
  </si>
  <si>
    <t xml:space="preserve">Sous-niveau 1  </t>
  </si>
  <si>
    <t xml:space="preserve">Sous-niveau 2  </t>
  </si>
  <si>
    <t xml:space="preserve">Sous-niveau 3  </t>
  </si>
  <si>
    <t>2.0 - Développement du chantier (suite)</t>
  </si>
  <si>
    <r>
      <t>2.2 - Développement requis</t>
    </r>
    <r>
      <rPr>
        <sz val="11"/>
        <rFont val="Arial Black"/>
        <family val="2"/>
      </rPr>
      <t xml:space="preserve"> (voir l'onglet "Développement")</t>
    </r>
  </si>
  <si>
    <t>Accès au chantier</t>
  </si>
  <si>
    <t>Longueur</t>
  </si>
  <si>
    <t>Tonnes/mètre</t>
  </si>
  <si>
    <t>Dilution</t>
  </si>
  <si>
    <t>Teneur diluée (g/t)</t>
  </si>
  <si>
    <t>Tonnes</t>
  </si>
  <si>
    <t>Minerai</t>
  </si>
  <si>
    <t>Sous-niveau 1</t>
  </si>
  <si>
    <t>Sous-niveau 2</t>
  </si>
  <si>
    <t>Sous-niveau 3</t>
  </si>
  <si>
    <t>Sous-niveau 4</t>
  </si>
  <si>
    <t>2.3 - Paramètres de l'horaire de développement</t>
  </si>
  <si>
    <t>Nombre de quarts/jour</t>
  </si>
  <si>
    <t>Nombre de jours ouvrables/mois</t>
  </si>
  <si>
    <t>Imprévus</t>
  </si>
  <si>
    <t>2.4 - Calcul de la durée du développement</t>
  </si>
  <si>
    <t>Niveau supérieur</t>
  </si>
  <si>
    <t># de quarts/jour</t>
  </si>
  <si>
    <t>Avances/quart</t>
  </si>
  <si>
    <t># de jours requis</t>
  </si>
  <si>
    <t># de jours</t>
  </si>
  <si>
    <t>d'installation</t>
  </si>
  <si>
    <t>Niveau inférieur</t>
  </si>
  <si>
    <t xml:space="preserve"># de jours </t>
  </si>
  <si>
    <t>Durée +</t>
  </si>
  <si>
    <t>Imprévus  =</t>
  </si>
  <si>
    <t>DURÉE DU DÉVELOPPEMENT</t>
  </si>
  <si>
    <t>(JOURS OUVRABLES)</t>
  </si>
  <si>
    <t>3.1 - Paramètres du minage</t>
  </si>
  <si>
    <t>Productivité</t>
  </si>
  <si>
    <t>Nombre d'hommes/quart</t>
  </si>
  <si>
    <t>Jours d'usinage/année</t>
  </si>
  <si>
    <t>tonnes/q-h</t>
  </si>
  <si>
    <t>Tonnes cassées/jour (en production)</t>
  </si>
  <si>
    <t>Tonnage restant dans le chantier</t>
  </si>
  <si>
    <t xml:space="preserve"> -  Perte entre les points de soutirage</t>
  </si>
  <si>
    <t xml:space="preserve"> = Tonnage récupéré dans le chantier</t>
  </si>
  <si>
    <t>tonnes/jour</t>
  </si>
  <si>
    <t>Temps requis pour déblayer le reste du chantier</t>
  </si>
  <si>
    <t>Afin de maintenir un taux constant de production, le nombre de chantiers en production doit être proportionnel au nombre de chantiers en phase de</t>
  </si>
  <si>
    <t>déblayage final.</t>
  </si>
  <si>
    <t>permettra de calculer un ratio optimal du temps de production sur le temps de déblayage final qui est égal à</t>
  </si>
  <si>
    <t>Tonnage actuel/jour</t>
  </si>
  <si>
    <t>Tonnage usiné moyen/jour (base annuelle)</t>
  </si>
  <si>
    <t>Nombre de chantiers (en production)</t>
  </si>
  <si>
    <t>Nbre de chantiers (en phase de déblayage)</t>
  </si>
  <si>
    <r>
      <t>3</t>
    </r>
    <r>
      <rPr>
        <i/>
        <u val="single"/>
        <sz val="12"/>
        <rFont val="Arial Black"/>
        <family val="2"/>
      </rPr>
      <t>.3.1 - Calcul du nombre de chantiers en phase de développement pour maintenir le taux de production</t>
    </r>
  </si>
  <si>
    <t>Afin de maintenir un taux constant de production, le nombre de chantiers en production doit être proportionnel au nombre de chantiers en phase</t>
  </si>
  <si>
    <t>de développement.</t>
  </si>
  <si>
    <t>vous permettra de calculer un ratio optimal du temps de production sur le temps de développement qui est égal à</t>
  </si>
  <si>
    <t>.</t>
  </si>
  <si>
    <t>Tonnage actuel de minerai/jour</t>
  </si>
  <si>
    <t>Tonnage moyen de             minerai usiné/jour                                     (base annuelle)</t>
  </si>
  <si>
    <t>Nombre de chantiers (en développement)</t>
  </si>
  <si>
    <r>
      <t>Note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>Les calculs</t>
    </r>
    <r>
      <rPr>
        <sz val="10"/>
        <rFont val="Arial"/>
        <family val="0"/>
      </rPr>
      <t xml:space="preserve"> supposent que l'horaire de travail est le même pour la production et le développement.</t>
    </r>
  </si>
  <si>
    <t>4.1 - Calcul du volume à remblayer</t>
  </si>
  <si>
    <t>Tonnage miné du chantier (dilution incluse)</t>
  </si>
  <si>
    <t>Tonnage total</t>
  </si>
  <si>
    <t>Volume à remblayer</t>
  </si>
  <si>
    <t>4.2 - Calcul du temps requis pour le remblayage</t>
  </si>
  <si>
    <t xml:space="preserve"> - Construction des barricades</t>
  </si>
  <si>
    <t xml:space="preserve"> - Temps de remblayage</t>
  </si>
  <si>
    <t>Nombre de barricades</t>
  </si>
  <si>
    <t>Nombre de jours/barricade</t>
  </si>
  <si>
    <t>Jours ouvrables</t>
  </si>
  <si>
    <t>Cacacité de remblayage (tonnes solides/heure)</t>
  </si>
  <si>
    <t>Densité du remblai in situ</t>
  </si>
  <si>
    <t>heures effectives/quart</t>
  </si>
  <si>
    <t>quarts/jour</t>
  </si>
  <si>
    <t xml:space="preserve"> - Temps total requis</t>
  </si>
  <si>
    <t>(selon l'horaire de développement inscrit à la section 2.3)</t>
  </si>
  <si>
    <t>5.0 - Résumé</t>
  </si>
  <si>
    <t>Sous-niveau</t>
  </si>
  <si>
    <t>onces</t>
  </si>
  <si>
    <t>CALCUL DU MINERAI MINÉ PROVENANT DES RÉSERVES ORIGINALES LORS DU DÉVELOPPEMENT DU CHANTIER</t>
  </si>
  <si>
    <t>Hauteur verticale</t>
  </si>
  <si>
    <t>Pendage</t>
  </si>
  <si>
    <t>Densité</t>
  </si>
  <si>
    <t>Réserves</t>
  </si>
  <si>
    <t>Perte entre PS</t>
  </si>
  <si>
    <t>Récupération à l'usine</t>
  </si>
  <si>
    <t>Onces</t>
  </si>
  <si>
    <t>Minerai usiné *</t>
  </si>
  <si>
    <t>* Le minerai usiné du chantier provient des réserves géologiques diluées (section 1.0) moins la portion des réserves extraites</t>
  </si>
  <si>
    <t xml:space="preserve">   lors du développement du chantier.</t>
  </si>
  <si>
    <t>Minerai usiné du développement</t>
  </si>
  <si>
    <t>Minerai usiné du chantier</t>
  </si>
  <si>
    <t>Densité           (t/m³)</t>
  </si>
  <si>
    <t>Espacement prévu (m)</t>
  </si>
  <si>
    <t>Largeur du PS (m)</t>
  </si>
  <si>
    <t xml:space="preserve"> du minerai (°)</t>
  </si>
  <si>
    <t>métres</t>
  </si>
  <si>
    <t>Hauteur (m)</t>
  </si>
  <si>
    <t>Monterie centrale dans le minerai</t>
  </si>
  <si>
    <t>Distance horizontale (m)</t>
  </si>
  <si>
    <t>Monterie centrale dans le stérile dans une éponte avec sous-niveaux à espacement régulier</t>
  </si>
  <si>
    <t>Longueur de la monterie</t>
  </si>
  <si>
    <t>SOUS-NIVEAUX</t>
  </si>
  <si>
    <t>Hauteur S-N</t>
  </si>
  <si>
    <t>Largeur S-N</t>
  </si>
  <si>
    <t>Longueur S-N</t>
  </si>
  <si>
    <t>Tonnes/S-N</t>
  </si>
  <si>
    <t>Sous-niveaux</t>
  </si>
  <si>
    <t>Monterie dans le minerai à une extrémité avec sous-niveaux</t>
  </si>
  <si>
    <t>Vue longitudinale</t>
  </si>
  <si>
    <t>pour maintenir</t>
  </si>
  <si>
    <t>une productivité maximale avec un nombre minimal de chantiers actifs.</t>
  </si>
  <si>
    <t>m³</t>
  </si>
  <si>
    <t>Aucun PS aux extrémités</t>
  </si>
  <si>
    <t>Un PS à l'une des extrémités</t>
  </si>
  <si>
    <t>Esp. réel</t>
  </si>
  <si>
    <t>Monterie ouverte</t>
  </si>
  <si>
    <t>Capacité de déblayage durant la phase de sautage</t>
  </si>
  <si>
    <t>a)  déblayer l'excédent dû au foisonnement</t>
  </si>
  <si>
    <t>b)  déblayer au maximum de l'équipement</t>
  </si>
  <si>
    <t>Tonnes déblayées/jour (en production)</t>
  </si>
  <si>
    <r>
      <t>Note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Les calculs </t>
    </r>
    <r>
      <rPr>
        <sz val="10"/>
        <rFont val="Arial"/>
        <family val="0"/>
      </rPr>
      <t>supposent que l'horaire de travail est le même pour la production et le déblayage du minerai.</t>
    </r>
  </si>
  <si>
    <t>Minerai (réserves)</t>
  </si>
  <si>
    <t>Version : 18 décembre 2002</t>
  </si>
  <si>
    <t xml:space="preserve"> - Chantier typique</t>
  </si>
  <si>
    <t xml:space="preserve"> - Paramètres des points de soutirage</t>
  </si>
  <si>
    <t>Configurations de la monterie selon sa position par rapport au chantier</t>
  </si>
  <si>
    <t>Tonnes/quart (déblayage final du chantier)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</si>
</sst>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#,##0.0"/>
    <numFmt numFmtId="179" formatCode="#,##0.000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u val="single"/>
      <sz val="14"/>
      <name val="Arial Black"/>
      <family val="2"/>
    </font>
    <font>
      <b/>
      <u val="single"/>
      <sz val="10"/>
      <name val="Arial"/>
      <family val="2"/>
    </font>
    <font>
      <u val="single"/>
      <sz val="12"/>
      <name val="Arial Black"/>
      <family val="2"/>
    </font>
    <font>
      <u val="single"/>
      <sz val="18"/>
      <name val="Arial Black"/>
      <family val="2"/>
    </font>
    <font>
      <b/>
      <sz val="16"/>
      <name val="Arial"/>
      <family val="2"/>
    </font>
    <font>
      <sz val="12"/>
      <name val="Arial Black"/>
      <family val="2"/>
    </font>
    <font>
      <b/>
      <sz val="14"/>
      <name val="Arial"/>
      <family val="2"/>
    </font>
    <font>
      <sz val="11"/>
      <name val="Arial Black"/>
      <family val="2"/>
    </font>
    <font>
      <u val="single"/>
      <sz val="16"/>
      <name val="Arial Black"/>
      <family val="2"/>
    </font>
    <font>
      <i/>
      <u val="single"/>
      <sz val="12"/>
      <name val="Arial Black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Arial Black"/>
      <family val="2"/>
    </font>
    <font>
      <b/>
      <sz val="20"/>
      <name val="Arial Black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9" fontId="0" fillId="0" borderId="0" xfId="19" applyFont="1" applyAlignment="1">
      <alignment horizontal="center"/>
    </xf>
    <xf numFmtId="0" fontId="7" fillId="0" borderId="0" xfId="0" applyFont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5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4" fontId="0" fillId="2" borderId="2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0" xfId="0" applyFont="1" applyBorder="1" applyAlignment="1">
      <alignment/>
    </xf>
    <xf numFmtId="0" fontId="13" fillId="3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164" fontId="5" fillId="2" borderId="7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2" borderId="21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6" borderId="28" xfId="0" applyFont="1" applyFill="1" applyBorder="1" applyAlignment="1">
      <alignment/>
    </xf>
    <xf numFmtId="164" fontId="5" fillId="0" borderId="26" xfId="0" applyNumberFormat="1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1"/>
    </xf>
    <xf numFmtId="164" fontId="0" fillId="4" borderId="2" xfId="0" applyNumberForma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" xfId="0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 horizontal="center"/>
    </xf>
    <xf numFmtId="9" fontId="0" fillId="4" borderId="2" xfId="19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9" fontId="0" fillId="4" borderId="10" xfId="19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9" fontId="0" fillId="4" borderId="0" xfId="19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9" fontId="0" fillId="4" borderId="2" xfId="19" applyFill="1" applyBorder="1" applyAlignment="1">
      <alignment/>
    </xf>
    <xf numFmtId="164" fontId="2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" fontId="2" fillId="2" borderId="1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indent="6"/>
    </xf>
    <xf numFmtId="3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20" fillId="0" borderId="0" xfId="0" applyFont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left" indent="2"/>
    </xf>
    <xf numFmtId="0" fontId="2" fillId="2" borderId="19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5" xfId="0" applyBorder="1" applyAlignment="1">
      <alignment/>
    </xf>
    <xf numFmtId="164" fontId="5" fillId="0" borderId="2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2" fillId="0" borderId="36" xfId="0" applyFont="1" applyBorder="1" applyAlignment="1">
      <alignment horizontal="center"/>
    </xf>
    <xf numFmtId="1" fontId="0" fillId="2" borderId="31" xfId="0" applyNumberFormat="1" applyFill="1" applyBorder="1" applyAlignment="1">
      <alignment/>
    </xf>
    <xf numFmtId="2" fontId="0" fillId="2" borderId="29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/>
    </xf>
    <xf numFmtId="0" fontId="1" fillId="2" borderId="40" xfId="0" applyFont="1" applyFill="1" applyBorder="1" applyAlignment="1">
      <alignment horizontal="center"/>
    </xf>
    <xf numFmtId="0" fontId="0" fillId="2" borderId="29" xfId="0" applyNumberForma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0" fontId="0" fillId="4" borderId="17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5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 indent="5"/>
    </xf>
    <xf numFmtId="164" fontId="2" fillId="2" borderId="1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3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165" fontId="1" fillId="4" borderId="2" xfId="19" applyNumberFormat="1" applyFont="1" applyFill="1" applyBorder="1" applyAlignment="1">
      <alignment/>
    </xf>
    <xf numFmtId="0" fontId="24" fillId="0" borderId="0" xfId="0" applyFont="1" applyAlignment="1">
      <alignment/>
    </xf>
    <xf numFmtId="0" fontId="1" fillId="3" borderId="4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3" fillId="3" borderId="45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1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</xdr:row>
      <xdr:rowOff>28575</xdr:rowOff>
    </xdr:from>
    <xdr:to>
      <xdr:col>8</xdr:col>
      <xdr:colOff>800100</xdr:colOff>
      <xdr:row>24</xdr:row>
      <xdr:rowOff>142875</xdr:rowOff>
    </xdr:to>
    <xdr:grpSp>
      <xdr:nvGrpSpPr>
        <xdr:cNvPr id="1" name="Group 608"/>
        <xdr:cNvGrpSpPr>
          <a:grpSpLocks/>
        </xdr:cNvGrpSpPr>
      </xdr:nvGrpSpPr>
      <xdr:grpSpPr>
        <a:xfrm>
          <a:off x="5162550" y="2533650"/>
          <a:ext cx="3457575" cy="1895475"/>
          <a:chOff x="542" y="266"/>
          <a:chExt cx="363" cy="199"/>
        </a:xfrm>
        <a:solidFill>
          <a:srgbClr val="FFFFFF"/>
        </a:solidFill>
      </xdr:grpSpPr>
      <xdr:grpSp>
        <xdr:nvGrpSpPr>
          <xdr:cNvPr id="2" name="Group 606"/>
          <xdr:cNvGrpSpPr>
            <a:grpSpLocks/>
          </xdr:cNvGrpSpPr>
        </xdr:nvGrpSpPr>
        <xdr:grpSpPr>
          <a:xfrm>
            <a:off x="542" y="266"/>
            <a:ext cx="363" cy="189"/>
            <a:chOff x="537" y="232"/>
            <a:chExt cx="379" cy="189"/>
          </a:xfrm>
          <a:solidFill>
            <a:srgbClr val="FFFFFF"/>
          </a:solidFill>
        </xdr:grpSpPr>
        <xdr:sp>
          <xdr:nvSpPr>
            <xdr:cNvPr id="3" name="Polygon 4"/>
            <xdr:cNvSpPr>
              <a:spLocks/>
            </xdr:cNvSpPr>
          </xdr:nvSpPr>
          <xdr:spPr>
            <a:xfrm>
              <a:off x="589" y="232"/>
              <a:ext cx="53" cy="133"/>
            </a:xfrm>
            <a:custGeom>
              <a:pathLst>
                <a:path h="548" w="290">
                  <a:moveTo>
                    <a:pt x="0" y="501"/>
                  </a:moveTo>
                  <a:lnTo>
                    <a:pt x="70" y="329"/>
                  </a:lnTo>
                  <a:lnTo>
                    <a:pt x="192" y="111"/>
                  </a:lnTo>
                  <a:lnTo>
                    <a:pt x="246" y="4"/>
                  </a:lnTo>
                  <a:lnTo>
                    <a:pt x="290" y="0"/>
                  </a:lnTo>
                  <a:lnTo>
                    <a:pt x="216" y="134"/>
                  </a:lnTo>
                  <a:lnTo>
                    <a:pt x="134" y="287"/>
                  </a:lnTo>
                  <a:lnTo>
                    <a:pt x="64" y="419"/>
                  </a:lnTo>
                  <a:lnTo>
                    <a:pt x="12" y="548"/>
                  </a:lnTo>
                  <a:lnTo>
                    <a:pt x="2" y="499"/>
                  </a:lnTo>
                  <a:lnTo>
                    <a:pt x="0" y="50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Polygon 5"/>
            <xdr:cNvSpPr>
              <a:spLocks/>
            </xdr:cNvSpPr>
          </xdr:nvSpPr>
          <xdr:spPr>
            <a:xfrm>
              <a:off x="590" y="339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Polygon 6"/>
            <xdr:cNvSpPr>
              <a:spLocks/>
            </xdr:cNvSpPr>
          </xdr:nvSpPr>
          <xdr:spPr>
            <a:xfrm>
              <a:off x="627" y="241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Polygon 7"/>
            <xdr:cNvSpPr>
              <a:spLocks/>
            </xdr:cNvSpPr>
          </xdr:nvSpPr>
          <xdr:spPr>
            <a:xfrm>
              <a:off x="537" y="339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549" y="339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549" y="350"/>
              <a:ext cx="4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0"/>
            <xdr:cNvSpPr>
              <a:spLocks/>
            </xdr:cNvSpPr>
          </xdr:nvSpPr>
          <xdr:spPr>
            <a:xfrm>
              <a:off x="674" y="251"/>
              <a:ext cx="238" cy="1"/>
            </a:xfrm>
            <a:custGeom>
              <a:pathLst>
                <a:path h="1" w="238">
                  <a:moveTo>
                    <a:pt x="0" y="0"/>
                  </a:moveTo>
                  <a:lnTo>
                    <a:pt x="23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 flipV="1">
              <a:off x="673" y="240"/>
              <a:ext cx="23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12"/>
            <xdr:cNvSpPr>
              <a:spLocks/>
            </xdr:cNvSpPr>
          </xdr:nvSpPr>
          <xdr:spPr>
            <a:xfrm>
              <a:off x="678" y="338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678" y="349"/>
              <a:ext cx="2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14"/>
            <xdr:cNvSpPr>
              <a:spLocks/>
            </xdr:cNvSpPr>
          </xdr:nvSpPr>
          <xdr:spPr>
            <a:xfrm>
              <a:off x="732" y="338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Polygon 15"/>
            <xdr:cNvSpPr>
              <a:spLocks/>
            </xdr:cNvSpPr>
          </xdr:nvSpPr>
          <xdr:spPr>
            <a:xfrm>
              <a:off x="790" y="338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Polygon 16"/>
            <xdr:cNvSpPr>
              <a:spLocks/>
            </xdr:cNvSpPr>
          </xdr:nvSpPr>
          <xdr:spPr>
            <a:xfrm>
              <a:off x="850" y="338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753" y="251"/>
              <a:ext cx="41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677" y="338"/>
              <a:ext cx="2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>
              <a:off x="760" y="252"/>
              <a:ext cx="4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0"/>
            <xdr:cNvSpPr>
              <a:spLocks/>
            </xdr:cNvSpPr>
          </xdr:nvSpPr>
          <xdr:spPr>
            <a:xfrm flipH="1">
              <a:off x="678" y="252"/>
              <a:ext cx="0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1"/>
            <xdr:cNvSpPr>
              <a:spLocks/>
            </xdr:cNvSpPr>
          </xdr:nvSpPr>
          <xdr:spPr>
            <a:xfrm>
              <a:off x="905" y="251"/>
              <a:ext cx="0" cy="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Polygon 22"/>
            <xdr:cNvSpPr>
              <a:spLocks/>
            </xdr:cNvSpPr>
          </xdr:nvSpPr>
          <xdr:spPr>
            <a:xfrm>
              <a:off x="893" y="338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3"/>
            <xdr:cNvSpPr>
              <a:spLocks/>
            </xdr:cNvSpPr>
          </xdr:nvSpPr>
          <xdr:spPr>
            <a:xfrm>
              <a:off x="677" y="420"/>
              <a:ext cx="226" cy="1"/>
            </a:xfrm>
            <a:custGeom>
              <a:pathLst>
                <a:path h="1" w="226">
                  <a:moveTo>
                    <a:pt x="0" y="0"/>
                  </a:moveTo>
                  <a:lnTo>
                    <a:pt x="226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4"/>
            <xdr:cNvSpPr>
              <a:spLocks/>
            </xdr:cNvSpPr>
          </xdr:nvSpPr>
          <xdr:spPr>
            <a:xfrm>
              <a:off x="674" y="376"/>
              <a:ext cx="227" cy="1"/>
            </a:xfrm>
            <a:custGeom>
              <a:pathLst>
                <a:path h="1" w="227">
                  <a:moveTo>
                    <a:pt x="0" y="0"/>
                  </a:moveTo>
                  <a:lnTo>
                    <a:pt x="227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5"/>
            <xdr:cNvSpPr>
              <a:spLocks/>
            </xdr:cNvSpPr>
          </xdr:nvSpPr>
          <xdr:spPr>
            <a:xfrm>
              <a:off x="674" y="365"/>
              <a:ext cx="2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 flipV="1">
              <a:off x="688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7"/>
            <xdr:cNvSpPr>
              <a:spLocks/>
            </xdr:cNvSpPr>
          </xdr:nvSpPr>
          <xdr:spPr>
            <a:xfrm flipV="1">
              <a:off x="677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8"/>
            <xdr:cNvSpPr>
              <a:spLocks/>
            </xdr:cNvSpPr>
          </xdr:nvSpPr>
          <xdr:spPr>
            <a:xfrm flipV="1">
              <a:off x="801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9"/>
            <xdr:cNvSpPr>
              <a:spLocks/>
            </xdr:cNvSpPr>
          </xdr:nvSpPr>
          <xdr:spPr>
            <a:xfrm flipV="1">
              <a:off x="789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 flipV="1">
              <a:off x="860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 flipV="1">
              <a:off x="848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2"/>
            <xdr:cNvSpPr>
              <a:spLocks/>
            </xdr:cNvSpPr>
          </xdr:nvSpPr>
          <xdr:spPr>
            <a:xfrm flipV="1">
              <a:off x="742" y="376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3"/>
            <xdr:cNvSpPr>
              <a:spLocks/>
            </xdr:cNvSpPr>
          </xdr:nvSpPr>
          <xdr:spPr>
            <a:xfrm flipV="1">
              <a:off x="730" y="377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 flipV="1">
              <a:off x="903" y="377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5"/>
            <xdr:cNvSpPr>
              <a:spLocks/>
            </xdr:cNvSpPr>
          </xdr:nvSpPr>
          <xdr:spPr>
            <a:xfrm flipV="1">
              <a:off x="891" y="377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36"/>
            <xdr:cNvSpPr>
              <a:spLocks/>
            </xdr:cNvSpPr>
          </xdr:nvSpPr>
          <xdr:spPr>
            <a:xfrm>
              <a:off x="668" y="366"/>
              <a:ext cx="248" cy="10"/>
            </a:xfrm>
            <a:custGeom>
              <a:pathLst>
                <a:path h="33" w="722">
                  <a:moveTo>
                    <a:pt x="16" y="11"/>
                  </a:moveTo>
                  <a:lnTo>
                    <a:pt x="100" y="1"/>
                  </a:lnTo>
                  <a:lnTo>
                    <a:pt x="198" y="17"/>
                  </a:lnTo>
                  <a:lnTo>
                    <a:pt x="264" y="7"/>
                  </a:lnTo>
                  <a:lnTo>
                    <a:pt x="368" y="5"/>
                  </a:lnTo>
                  <a:lnTo>
                    <a:pt x="469" y="18"/>
                  </a:lnTo>
                  <a:lnTo>
                    <a:pt x="537" y="0"/>
                  </a:lnTo>
                  <a:lnTo>
                    <a:pt x="645" y="16"/>
                  </a:lnTo>
                  <a:lnTo>
                    <a:pt x="705" y="10"/>
                  </a:lnTo>
                  <a:lnTo>
                    <a:pt x="722" y="26"/>
                  </a:lnTo>
                  <a:lnTo>
                    <a:pt x="655" y="30"/>
                  </a:lnTo>
                  <a:lnTo>
                    <a:pt x="583" y="23"/>
                  </a:lnTo>
                  <a:lnTo>
                    <a:pt x="455" y="33"/>
                  </a:lnTo>
                  <a:lnTo>
                    <a:pt x="349" y="23"/>
                  </a:lnTo>
                  <a:lnTo>
                    <a:pt x="255" y="22"/>
                  </a:lnTo>
                  <a:lnTo>
                    <a:pt x="121" y="33"/>
                  </a:lnTo>
                  <a:lnTo>
                    <a:pt x="57" y="23"/>
                  </a:lnTo>
                  <a:lnTo>
                    <a:pt x="0" y="30"/>
                  </a:lnTo>
                  <a:lnTo>
                    <a:pt x="16" y="1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37"/>
          <xdr:cNvSpPr>
            <a:spLocks/>
          </xdr:cNvSpPr>
        </xdr:nvSpPr>
        <xdr:spPr>
          <a:xfrm>
            <a:off x="645" y="286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40"/>
          <xdr:cNvSpPr>
            <a:spLocks/>
          </xdr:cNvSpPr>
        </xdr:nvSpPr>
        <xdr:spPr>
          <a:xfrm>
            <a:off x="647" y="314"/>
            <a:ext cx="2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ver</a:t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612" y="352"/>
            <a:ext cx="6" cy="21"/>
          </a:xfrm>
          <a:custGeom>
            <a:pathLst>
              <a:path h="12" w="7">
                <a:moveTo>
                  <a:pt x="0" y="0"/>
                </a:moveTo>
                <a:cubicBezTo>
                  <a:pt x="1" y="1"/>
                  <a:pt x="5" y="3"/>
                  <a:pt x="6" y="5"/>
                </a:cubicBezTo>
                <a:cubicBezTo>
                  <a:pt x="7" y="7"/>
                  <a:pt x="6" y="11"/>
                  <a:pt x="6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42"/>
          <xdr:cNvSpPr>
            <a:spLocks/>
          </xdr:cNvSpPr>
        </xdr:nvSpPr>
        <xdr:spPr>
          <a:xfrm>
            <a:off x="619" y="346"/>
            <a:ext cx="23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P°</a:t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675" y="465"/>
            <a:ext cx="2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610" y="374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5"/>
          <xdr:cNvSpPr>
            <a:spLocks/>
          </xdr:cNvSpPr>
        </xdr:nvSpPr>
        <xdr:spPr>
          <a:xfrm>
            <a:off x="638" y="286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723900</xdr:colOff>
      <xdr:row>136</xdr:row>
      <xdr:rowOff>66675</xdr:rowOff>
    </xdr:from>
    <xdr:to>
      <xdr:col>3</xdr:col>
      <xdr:colOff>0</xdr:colOff>
      <xdr:row>140</xdr:row>
      <xdr:rowOff>28575</xdr:rowOff>
    </xdr:to>
    <xdr:sp>
      <xdr:nvSpPr>
        <xdr:cNvPr id="43" name="AutoShape 536"/>
        <xdr:cNvSpPr>
          <a:spLocks/>
        </xdr:cNvSpPr>
      </xdr:nvSpPr>
      <xdr:spPr>
        <a:xfrm>
          <a:off x="2905125" y="26298525"/>
          <a:ext cx="161925" cy="609600"/>
        </a:xfrm>
        <a:custGeom>
          <a:pathLst>
            <a:path h="64" w="17">
              <a:moveTo>
                <a:pt x="17" y="0"/>
              </a:moveTo>
              <a:cubicBezTo>
                <a:pt x="14" y="5"/>
                <a:pt x="0" y="22"/>
                <a:pt x="0" y="33"/>
              </a:cubicBezTo>
              <a:cubicBezTo>
                <a:pt x="0" y="44"/>
                <a:pt x="14" y="58"/>
                <a:pt x="17" y="6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137</xdr:row>
      <xdr:rowOff>152400</xdr:rowOff>
    </xdr:from>
    <xdr:to>
      <xdr:col>3</xdr:col>
      <xdr:colOff>0</xdr:colOff>
      <xdr:row>140</xdr:row>
      <xdr:rowOff>0</xdr:rowOff>
    </xdr:to>
    <xdr:sp>
      <xdr:nvSpPr>
        <xdr:cNvPr id="44" name="AutoShape 537"/>
        <xdr:cNvSpPr>
          <a:spLocks/>
        </xdr:cNvSpPr>
      </xdr:nvSpPr>
      <xdr:spPr>
        <a:xfrm>
          <a:off x="2914650" y="26546175"/>
          <a:ext cx="152400" cy="333375"/>
        </a:xfrm>
        <a:custGeom>
          <a:pathLst>
            <a:path h="35" w="15">
              <a:moveTo>
                <a:pt x="15" y="0"/>
              </a:moveTo>
              <a:cubicBezTo>
                <a:pt x="13" y="2"/>
                <a:pt x="0" y="4"/>
                <a:pt x="0" y="10"/>
              </a:cubicBezTo>
              <a:cubicBezTo>
                <a:pt x="0" y="16"/>
                <a:pt x="11" y="30"/>
                <a:pt x="14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76200</xdr:rowOff>
    </xdr:from>
    <xdr:to>
      <xdr:col>6</xdr:col>
      <xdr:colOff>314325</xdr:colOff>
      <xdr:row>53</xdr:row>
      <xdr:rowOff>247650</xdr:rowOff>
    </xdr:to>
    <xdr:grpSp>
      <xdr:nvGrpSpPr>
        <xdr:cNvPr id="45" name="Group 610"/>
        <xdr:cNvGrpSpPr>
          <a:grpSpLocks/>
        </xdr:cNvGrpSpPr>
      </xdr:nvGrpSpPr>
      <xdr:grpSpPr>
        <a:xfrm>
          <a:off x="304800" y="8391525"/>
          <a:ext cx="5972175" cy="2743200"/>
          <a:chOff x="32" y="861"/>
          <a:chExt cx="627" cy="288"/>
        </a:xfrm>
        <a:solidFill>
          <a:srgbClr val="FFFFFF"/>
        </a:solidFill>
      </xdr:grpSpPr>
      <xdr:sp>
        <xdr:nvSpPr>
          <xdr:cNvPr id="46" name="Rectangle 251"/>
          <xdr:cNvSpPr>
            <a:spLocks/>
          </xdr:cNvSpPr>
        </xdr:nvSpPr>
        <xdr:spPr>
          <a:xfrm>
            <a:off x="466" y="917"/>
            <a:ext cx="17" cy="60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252"/>
          <xdr:cNvSpPr>
            <a:spLocks/>
          </xdr:cNvSpPr>
        </xdr:nvSpPr>
        <xdr:spPr>
          <a:xfrm>
            <a:off x="464" y="994"/>
            <a:ext cx="18" cy="64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253"/>
          <xdr:cNvSpPr>
            <a:spLocks/>
          </xdr:cNvSpPr>
        </xdr:nvSpPr>
        <xdr:spPr>
          <a:xfrm>
            <a:off x="464" y="1074"/>
            <a:ext cx="17" cy="69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254"/>
          <xdr:cNvSpPr txBox="1">
            <a:spLocks noChangeArrowheads="1"/>
          </xdr:cNvSpPr>
        </xdr:nvSpPr>
        <xdr:spPr>
          <a:xfrm>
            <a:off x="577" y="1004"/>
            <a:ext cx="82" cy="42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Monteries 
ascendantes</a:t>
            </a:r>
          </a:p>
        </xdr:txBody>
      </xdr:sp>
      <xdr:sp>
        <xdr:nvSpPr>
          <xdr:cNvPr id="50" name="AutoShape 255"/>
          <xdr:cNvSpPr>
            <a:spLocks/>
          </xdr:cNvSpPr>
        </xdr:nvSpPr>
        <xdr:spPr>
          <a:xfrm rot="5400000">
            <a:off x="518" y="1009"/>
            <a:ext cx="63" cy="137"/>
          </a:xfrm>
          <a:prstGeom prst="curvedConnector2">
            <a:avLst>
              <a:gd name="adj1" fmla="val -1030953"/>
              <a:gd name="adj2" fmla="val -813504"/>
              <a:gd name="adj3" fmla="val -1030953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256"/>
          <xdr:cNvSpPr>
            <a:spLocks/>
          </xdr:cNvSpPr>
        </xdr:nvSpPr>
        <xdr:spPr>
          <a:xfrm rot="10800000" flipV="1">
            <a:off x="482" y="1025"/>
            <a:ext cx="95" cy="1"/>
          </a:xfrm>
          <a:prstGeom prst="curvedConnector3">
            <a:avLst>
              <a:gd name="adj1" fmla="val -527"/>
              <a:gd name="adj2" fmla="val 102450000"/>
              <a:gd name="adj3" fmla="val -65737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257"/>
          <xdr:cNvSpPr>
            <a:spLocks/>
          </xdr:cNvSpPr>
        </xdr:nvSpPr>
        <xdr:spPr>
          <a:xfrm rot="5400000" flipH="1">
            <a:off x="522" y="908"/>
            <a:ext cx="57" cy="135"/>
          </a:xfrm>
          <a:prstGeom prst="curvedConnector2">
            <a:avLst>
              <a:gd name="adj1" fmla="val -1134208"/>
              <a:gd name="adj2" fmla="val 693703"/>
              <a:gd name="adj3" fmla="val -1134208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Box 258"/>
          <xdr:cNvSpPr txBox="1">
            <a:spLocks noChangeArrowheads="1"/>
          </xdr:cNvSpPr>
        </xdr:nvSpPr>
        <xdr:spPr>
          <a:xfrm>
            <a:off x="32" y="861"/>
            <a:ext cx="314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Schéma typique - Longs Trous</a:t>
            </a:r>
          </a:p>
        </xdr:txBody>
      </xdr:sp>
      <xdr:sp>
        <xdr:nvSpPr>
          <xdr:cNvPr id="54" name="Rectangle 259"/>
          <xdr:cNvSpPr>
            <a:spLocks/>
          </xdr:cNvSpPr>
        </xdr:nvSpPr>
        <xdr:spPr>
          <a:xfrm>
            <a:off x="57" y="1129"/>
            <a:ext cx="44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NIVEAU INFÉRIEUR</a:t>
            </a:r>
          </a:p>
        </xdr:txBody>
      </xdr:sp>
      <xdr:sp>
        <xdr:nvSpPr>
          <xdr:cNvPr id="55" name="Rectangle 248"/>
          <xdr:cNvSpPr>
            <a:spLocks/>
          </xdr:cNvSpPr>
        </xdr:nvSpPr>
        <xdr:spPr>
          <a:xfrm>
            <a:off x="52" y="902"/>
            <a:ext cx="439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de forage 3 ou NIVEAU SUPÉRIEUR</a:t>
            </a:r>
          </a:p>
        </xdr:txBody>
      </xdr:sp>
      <xdr:sp>
        <xdr:nvSpPr>
          <xdr:cNvPr id="56" name="Rectangle 250"/>
          <xdr:cNvSpPr>
            <a:spLocks/>
          </xdr:cNvSpPr>
        </xdr:nvSpPr>
        <xdr:spPr>
          <a:xfrm>
            <a:off x="57" y="1055"/>
            <a:ext cx="440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Sous-niveau de forage 1</a:t>
            </a:r>
          </a:p>
        </xdr:txBody>
      </xdr:sp>
      <xdr:sp>
        <xdr:nvSpPr>
          <xdr:cNvPr id="57" name="Rectangle 249"/>
          <xdr:cNvSpPr>
            <a:spLocks/>
          </xdr:cNvSpPr>
        </xdr:nvSpPr>
        <xdr:spPr>
          <a:xfrm>
            <a:off x="52" y="977"/>
            <a:ext cx="439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Sous-niveau de forage 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66</xdr:row>
      <xdr:rowOff>180975</xdr:rowOff>
    </xdr:from>
    <xdr:to>
      <xdr:col>0</xdr:col>
      <xdr:colOff>409575</xdr:colOff>
      <xdr:row>80</xdr:row>
      <xdr:rowOff>28575</xdr:rowOff>
    </xdr:to>
    <xdr:sp>
      <xdr:nvSpPr>
        <xdr:cNvPr id="1" name="Rectangle 178"/>
        <xdr:cNvSpPr>
          <a:spLocks/>
        </xdr:cNvSpPr>
      </xdr:nvSpPr>
      <xdr:spPr>
        <a:xfrm>
          <a:off x="257175" y="12411075"/>
          <a:ext cx="1524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0</xdr:rowOff>
    </xdr:from>
    <xdr:to>
      <xdr:col>2</xdr:col>
      <xdr:colOff>238125</xdr:colOff>
      <xdr:row>54</xdr:row>
      <xdr:rowOff>19050</xdr:rowOff>
    </xdr:to>
    <xdr:sp>
      <xdr:nvSpPr>
        <xdr:cNvPr id="2" name="Polygon 150"/>
        <xdr:cNvSpPr>
          <a:spLocks/>
        </xdr:cNvSpPr>
      </xdr:nvSpPr>
      <xdr:spPr>
        <a:xfrm>
          <a:off x="866775" y="7839075"/>
          <a:ext cx="1076325" cy="2228850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pattFill prst="wdDnDiag">
          <a:fgClr>
            <a:srgbClr val="FF0000"/>
          </a:fgClr>
          <a:bgClr>
            <a:srgbClr val="FFFFFF"/>
          </a:bgClr>
        </a:pattFill>
        <a:ln w="1905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51</xdr:row>
      <xdr:rowOff>85725</xdr:rowOff>
    </xdr:from>
    <xdr:to>
      <xdr:col>1</xdr:col>
      <xdr:colOff>285750</xdr:colOff>
      <xdr:row>52</xdr:row>
      <xdr:rowOff>28575</xdr:rowOff>
    </xdr:to>
    <xdr:sp>
      <xdr:nvSpPr>
        <xdr:cNvPr id="3" name="Polygon 156"/>
        <xdr:cNvSpPr>
          <a:spLocks/>
        </xdr:cNvSpPr>
      </xdr:nvSpPr>
      <xdr:spPr>
        <a:xfrm>
          <a:off x="647700" y="9572625"/>
          <a:ext cx="4000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95250</xdr:rowOff>
    </xdr:from>
    <xdr:to>
      <xdr:col>1</xdr:col>
      <xdr:colOff>466725</xdr:colOff>
      <xdr:row>49</xdr:row>
      <xdr:rowOff>38100</xdr:rowOff>
    </xdr:to>
    <xdr:sp>
      <xdr:nvSpPr>
        <xdr:cNvPr id="4" name="Polygon 157"/>
        <xdr:cNvSpPr>
          <a:spLocks/>
        </xdr:cNvSpPr>
      </xdr:nvSpPr>
      <xdr:spPr>
        <a:xfrm>
          <a:off x="866775" y="9096375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114300</xdr:rowOff>
    </xdr:from>
    <xdr:to>
      <xdr:col>1</xdr:col>
      <xdr:colOff>695325</xdr:colOff>
      <xdr:row>46</xdr:row>
      <xdr:rowOff>57150</xdr:rowOff>
    </xdr:to>
    <xdr:sp>
      <xdr:nvSpPr>
        <xdr:cNvPr id="5" name="Polygon 158"/>
        <xdr:cNvSpPr>
          <a:spLocks/>
        </xdr:cNvSpPr>
      </xdr:nvSpPr>
      <xdr:spPr>
        <a:xfrm>
          <a:off x="1085850" y="8629650"/>
          <a:ext cx="371475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28575</xdr:rowOff>
    </xdr:from>
    <xdr:to>
      <xdr:col>1</xdr:col>
      <xdr:colOff>866775</xdr:colOff>
      <xdr:row>43</xdr:row>
      <xdr:rowOff>133350</xdr:rowOff>
    </xdr:to>
    <xdr:sp>
      <xdr:nvSpPr>
        <xdr:cNvPr id="6" name="Polygon 159"/>
        <xdr:cNvSpPr>
          <a:spLocks/>
        </xdr:cNvSpPr>
      </xdr:nvSpPr>
      <xdr:spPr>
        <a:xfrm>
          <a:off x="1266825" y="8191500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723900</xdr:colOff>
      <xdr:row>54</xdr:row>
      <xdr:rowOff>19050</xdr:rowOff>
    </xdr:to>
    <xdr:sp>
      <xdr:nvSpPr>
        <xdr:cNvPr id="7" name="Polygon 149"/>
        <xdr:cNvSpPr>
          <a:spLocks/>
        </xdr:cNvSpPr>
      </xdr:nvSpPr>
      <xdr:spPr>
        <a:xfrm>
          <a:off x="390525" y="7839075"/>
          <a:ext cx="1095375" cy="2228850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9525</xdr:rowOff>
    </xdr:from>
    <xdr:to>
      <xdr:col>1</xdr:col>
      <xdr:colOff>257175</xdr:colOff>
      <xdr:row>55</xdr:row>
      <xdr:rowOff>9525</xdr:rowOff>
    </xdr:to>
    <xdr:sp>
      <xdr:nvSpPr>
        <xdr:cNvPr id="8" name="Polygon 152"/>
        <xdr:cNvSpPr>
          <a:spLocks/>
        </xdr:cNvSpPr>
      </xdr:nvSpPr>
      <xdr:spPr>
        <a:xfrm>
          <a:off x="200025" y="10058400"/>
          <a:ext cx="819150" cy="1905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9525</xdr:rowOff>
    </xdr:from>
    <xdr:to>
      <xdr:col>0</xdr:col>
      <xdr:colOff>400050</xdr:colOff>
      <xdr:row>55</xdr:row>
      <xdr:rowOff>9525</xdr:rowOff>
    </xdr:to>
    <xdr:sp>
      <xdr:nvSpPr>
        <xdr:cNvPr id="9" name="Polygon 153"/>
        <xdr:cNvSpPr>
          <a:spLocks/>
        </xdr:cNvSpPr>
      </xdr:nvSpPr>
      <xdr:spPr>
        <a:xfrm>
          <a:off x="200025" y="1005840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9525</xdr:rowOff>
    </xdr:from>
    <xdr:to>
      <xdr:col>1</xdr:col>
      <xdr:colOff>247650</xdr:colOff>
      <xdr:row>55</xdr:row>
      <xdr:rowOff>9525</xdr:rowOff>
    </xdr:to>
    <xdr:sp>
      <xdr:nvSpPr>
        <xdr:cNvPr id="10" name="Polygon 154"/>
        <xdr:cNvSpPr>
          <a:spLocks/>
        </xdr:cNvSpPr>
      </xdr:nvSpPr>
      <xdr:spPr>
        <a:xfrm>
          <a:off x="809625" y="1005840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9525</xdr:rowOff>
    </xdr:from>
    <xdr:to>
      <xdr:col>2</xdr:col>
      <xdr:colOff>285750</xdr:colOff>
      <xdr:row>41</xdr:row>
      <xdr:rowOff>9525</xdr:rowOff>
    </xdr:to>
    <xdr:sp>
      <xdr:nvSpPr>
        <xdr:cNvPr id="11" name="Polygon 160"/>
        <xdr:cNvSpPr>
          <a:spLocks/>
        </xdr:cNvSpPr>
      </xdr:nvSpPr>
      <xdr:spPr>
        <a:xfrm>
          <a:off x="1143000" y="7658100"/>
          <a:ext cx="847725" cy="1905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9525</xdr:rowOff>
    </xdr:from>
    <xdr:to>
      <xdr:col>1</xdr:col>
      <xdr:colOff>581025</xdr:colOff>
      <xdr:row>41</xdr:row>
      <xdr:rowOff>9525</xdr:rowOff>
    </xdr:to>
    <xdr:sp>
      <xdr:nvSpPr>
        <xdr:cNvPr id="12" name="Polygon 161"/>
        <xdr:cNvSpPr>
          <a:spLocks/>
        </xdr:cNvSpPr>
      </xdr:nvSpPr>
      <xdr:spPr>
        <a:xfrm>
          <a:off x="1143000" y="765810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9525</xdr:rowOff>
    </xdr:from>
    <xdr:to>
      <xdr:col>2</xdr:col>
      <xdr:colOff>276225</xdr:colOff>
      <xdr:row>41</xdr:row>
      <xdr:rowOff>9525</xdr:rowOff>
    </xdr:to>
    <xdr:sp>
      <xdr:nvSpPr>
        <xdr:cNvPr id="13" name="Polygon 162"/>
        <xdr:cNvSpPr>
          <a:spLocks/>
        </xdr:cNvSpPr>
      </xdr:nvSpPr>
      <xdr:spPr>
        <a:xfrm>
          <a:off x="1781175" y="765810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80</xdr:row>
      <xdr:rowOff>9525</xdr:rowOff>
    </xdr:from>
    <xdr:to>
      <xdr:col>2</xdr:col>
      <xdr:colOff>771525</xdr:colOff>
      <xdr:row>81</xdr:row>
      <xdr:rowOff>28575</xdr:rowOff>
    </xdr:to>
    <xdr:sp>
      <xdr:nvSpPr>
        <xdr:cNvPr id="14" name="Polygon 172"/>
        <xdr:cNvSpPr>
          <a:spLocks/>
        </xdr:cNvSpPr>
      </xdr:nvSpPr>
      <xdr:spPr>
        <a:xfrm>
          <a:off x="104775" y="14639925"/>
          <a:ext cx="2371725" cy="20955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9525</xdr:rowOff>
    </xdr:from>
    <xdr:to>
      <xdr:col>2</xdr:col>
      <xdr:colOff>800100</xdr:colOff>
      <xdr:row>66</xdr:row>
      <xdr:rowOff>161925</xdr:rowOff>
    </xdr:to>
    <xdr:sp>
      <xdr:nvSpPr>
        <xdr:cNvPr id="15" name="Polygon 175"/>
        <xdr:cNvSpPr>
          <a:spLocks/>
        </xdr:cNvSpPr>
      </xdr:nvSpPr>
      <xdr:spPr>
        <a:xfrm>
          <a:off x="38100" y="12239625"/>
          <a:ext cx="2466975" cy="1524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171450</xdr:rowOff>
    </xdr:from>
    <xdr:to>
      <xdr:col>2</xdr:col>
      <xdr:colOff>800100</xdr:colOff>
      <xdr:row>80</xdr:row>
      <xdr:rowOff>9525</xdr:rowOff>
    </xdr:to>
    <xdr:sp>
      <xdr:nvSpPr>
        <xdr:cNvPr id="16" name="Rectangle 180"/>
        <xdr:cNvSpPr>
          <a:spLocks/>
        </xdr:cNvSpPr>
      </xdr:nvSpPr>
      <xdr:spPr>
        <a:xfrm>
          <a:off x="819150" y="12401550"/>
          <a:ext cx="1685925" cy="2238375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69</xdr:row>
      <xdr:rowOff>66675</xdr:rowOff>
    </xdr:from>
    <xdr:to>
      <xdr:col>1</xdr:col>
      <xdr:colOff>57150</xdr:colOff>
      <xdr:row>69</xdr:row>
      <xdr:rowOff>171450</xdr:rowOff>
    </xdr:to>
    <xdr:sp>
      <xdr:nvSpPr>
        <xdr:cNvPr id="17" name="Rectangle 183"/>
        <xdr:cNvSpPr>
          <a:spLocks/>
        </xdr:cNvSpPr>
      </xdr:nvSpPr>
      <xdr:spPr>
        <a:xfrm>
          <a:off x="409575" y="12811125"/>
          <a:ext cx="4095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72</xdr:row>
      <xdr:rowOff>9525</xdr:rowOff>
    </xdr:from>
    <xdr:to>
      <xdr:col>1</xdr:col>
      <xdr:colOff>66675</xdr:colOff>
      <xdr:row>72</xdr:row>
      <xdr:rowOff>114300</xdr:rowOff>
    </xdr:to>
    <xdr:sp>
      <xdr:nvSpPr>
        <xdr:cNvPr id="18" name="Rectangle 182"/>
        <xdr:cNvSpPr>
          <a:spLocks/>
        </xdr:cNvSpPr>
      </xdr:nvSpPr>
      <xdr:spPr>
        <a:xfrm>
          <a:off x="409575" y="13268325"/>
          <a:ext cx="4191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74</xdr:row>
      <xdr:rowOff>142875</xdr:rowOff>
    </xdr:from>
    <xdr:to>
      <xdr:col>1</xdr:col>
      <xdr:colOff>57150</xdr:colOff>
      <xdr:row>75</xdr:row>
      <xdr:rowOff>85725</xdr:rowOff>
    </xdr:to>
    <xdr:sp>
      <xdr:nvSpPr>
        <xdr:cNvPr id="19" name="Rectangle 181"/>
        <xdr:cNvSpPr>
          <a:spLocks/>
        </xdr:cNvSpPr>
      </xdr:nvSpPr>
      <xdr:spPr>
        <a:xfrm>
          <a:off x="409575" y="13725525"/>
          <a:ext cx="4095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77</xdr:row>
      <xdr:rowOff>104775</xdr:rowOff>
    </xdr:from>
    <xdr:to>
      <xdr:col>1</xdr:col>
      <xdr:colOff>66675</xdr:colOff>
      <xdr:row>78</xdr:row>
      <xdr:rowOff>38100</xdr:rowOff>
    </xdr:to>
    <xdr:sp>
      <xdr:nvSpPr>
        <xdr:cNvPr id="20" name="Rectangle 179"/>
        <xdr:cNvSpPr>
          <a:spLocks/>
        </xdr:cNvSpPr>
      </xdr:nvSpPr>
      <xdr:spPr>
        <a:xfrm>
          <a:off x="409575" y="14173200"/>
          <a:ext cx="4191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152400</xdr:rowOff>
    </xdr:from>
    <xdr:to>
      <xdr:col>2</xdr:col>
      <xdr:colOff>771525</xdr:colOff>
      <xdr:row>25</xdr:row>
      <xdr:rowOff>66675</xdr:rowOff>
    </xdr:to>
    <xdr:grpSp>
      <xdr:nvGrpSpPr>
        <xdr:cNvPr id="21" name="Group 202"/>
        <xdr:cNvGrpSpPr>
          <a:grpSpLocks/>
        </xdr:cNvGrpSpPr>
      </xdr:nvGrpSpPr>
      <xdr:grpSpPr>
        <a:xfrm>
          <a:off x="142875" y="4267200"/>
          <a:ext cx="2333625" cy="561975"/>
          <a:chOff x="7" y="388"/>
          <a:chExt cx="242" cy="59"/>
        </a:xfrm>
        <a:solidFill>
          <a:srgbClr val="FFFFFF"/>
        </a:solidFill>
      </xdr:grpSpPr>
      <xdr:grpSp>
        <xdr:nvGrpSpPr>
          <xdr:cNvPr id="22" name="Group 203"/>
          <xdr:cNvGrpSpPr>
            <a:grpSpLocks/>
          </xdr:cNvGrpSpPr>
        </xdr:nvGrpSpPr>
        <xdr:grpSpPr>
          <a:xfrm>
            <a:off x="7" y="388"/>
            <a:ext cx="242" cy="59"/>
            <a:chOff x="7" y="388"/>
            <a:chExt cx="242" cy="59"/>
          </a:xfrm>
          <a:solidFill>
            <a:srgbClr val="FFFFFF"/>
          </a:solidFill>
        </xdr:grpSpPr>
        <xdr:sp>
          <xdr:nvSpPr>
            <xdr:cNvPr id="23" name="Polygon 204"/>
            <xdr:cNvSpPr>
              <a:spLocks/>
            </xdr:cNvSpPr>
          </xdr:nvSpPr>
          <xdr:spPr>
            <a:xfrm>
              <a:off x="8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05"/>
            <xdr:cNvSpPr>
              <a:spLocks/>
            </xdr:cNvSpPr>
          </xdr:nvSpPr>
          <xdr:spPr>
            <a:xfrm>
              <a:off x="8" y="446"/>
              <a:ext cx="24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Polygon 206"/>
            <xdr:cNvSpPr>
              <a:spLocks/>
            </xdr:cNvSpPr>
          </xdr:nvSpPr>
          <xdr:spPr>
            <a:xfrm>
              <a:off x="65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Polygon 207"/>
            <xdr:cNvSpPr>
              <a:spLocks/>
            </xdr:cNvSpPr>
          </xdr:nvSpPr>
          <xdr:spPr>
            <a:xfrm>
              <a:off x="121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Polygon 208"/>
            <xdr:cNvSpPr>
              <a:spLocks/>
            </xdr:cNvSpPr>
          </xdr:nvSpPr>
          <xdr:spPr>
            <a:xfrm>
              <a:off x="177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09"/>
            <xdr:cNvSpPr>
              <a:spLocks/>
            </xdr:cNvSpPr>
          </xdr:nvSpPr>
          <xdr:spPr>
            <a:xfrm>
              <a:off x="7" y="433"/>
              <a:ext cx="24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Polygon 210"/>
            <xdr:cNvSpPr>
              <a:spLocks/>
            </xdr:cNvSpPr>
          </xdr:nvSpPr>
          <xdr:spPr>
            <a:xfrm>
              <a:off x="234" y="434"/>
              <a:ext cx="12" cy="12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211"/>
            <xdr:cNvSpPr>
              <a:spLocks/>
            </xdr:cNvSpPr>
          </xdr:nvSpPr>
          <xdr:spPr>
            <a:xfrm>
              <a:off x="7" y="388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212"/>
            <xdr:cNvSpPr>
              <a:spLocks/>
            </xdr:cNvSpPr>
          </xdr:nvSpPr>
          <xdr:spPr>
            <a:xfrm flipH="1" flipV="1">
              <a:off x="245" y="390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213"/>
            <xdr:cNvSpPr>
              <a:spLocks/>
            </xdr:cNvSpPr>
          </xdr:nvSpPr>
          <xdr:spPr>
            <a:xfrm>
              <a:off x="20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214"/>
            <xdr:cNvSpPr>
              <a:spLocks/>
            </xdr:cNvSpPr>
          </xdr:nvSpPr>
          <xdr:spPr>
            <a:xfrm>
              <a:off x="77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215"/>
            <xdr:cNvSpPr>
              <a:spLocks/>
            </xdr:cNvSpPr>
          </xdr:nvSpPr>
          <xdr:spPr>
            <a:xfrm>
              <a:off x="134" y="431"/>
              <a:ext cx="43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216"/>
            <xdr:cNvSpPr>
              <a:spLocks/>
            </xdr:cNvSpPr>
          </xdr:nvSpPr>
          <xdr:spPr>
            <a:xfrm>
              <a:off x="189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217"/>
          <xdr:cNvSpPr>
            <a:spLocks/>
          </xdr:cNvSpPr>
        </xdr:nvSpPr>
        <xdr:spPr>
          <a:xfrm>
            <a:off x="72" y="416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18"/>
          <xdr:cNvSpPr>
            <a:spLocks/>
          </xdr:cNvSpPr>
        </xdr:nvSpPr>
        <xdr:spPr>
          <a:xfrm>
            <a:off x="72" y="412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219"/>
          <xdr:cNvSpPr>
            <a:spLocks/>
          </xdr:cNvSpPr>
        </xdr:nvSpPr>
        <xdr:spPr>
          <a:xfrm flipV="1">
            <a:off x="128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20"/>
          <xdr:cNvSpPr>
            <a:spLocks/>
          </xdr:cNvSpPr>
        </xdr:nvSpPr>
        <xdr:spPr>
          <a:xfrm>
            <a:off x="64" y="392"/>
            <a:ext cx="7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Espacement</a:t>
            </a:r>
          </a:p>
        </xdr:txBody>
      </xdr:sp>
    </xdr:grpSp>
    <xdr:clientData/>
  </xdr:twoCellAnchor>
  <xdr:twoCellAnchor>
    <xdr:from>
      <xdr:col>3</xdr:col>
      <xdr:colOff>295275</xdr:colOff>
      <xdr:row>22</xdr:row>
      <xdr:rowOff>38100</xdr:rowOff>
    </xdr:from>
    <xdr:to>
      <xdr:col>5</xdr:col>
      <xdr:colOff>866775</xdr:colOff>
      <xdr:row>25</xdr:row>
      <xdr:rowOff>85725</xdr:rowOff>
    </xdr:to>
    <xdr:grpSp>
      <xdr:nvGrpSpPr>
        <xdr:cNvPr id="40" name="Group 256"/>
        <xdr:cNvGrpSpPr>
          <a:grpSpLocks/>
        </xdr:cNvGrpSpPr>
      </xdr:nvGrpSpPr>
      <xdr:grpSpPr>
        <a:xfrm>
          <a:off x="2895600" y="4314825"/>
          <a:ext cx="2533650" cy="533400"/>
          <a:chOff x="304" y="392"/>
          <a:chExt cx="266" cy="56"/>
        </a:xfrm>
        <a:solidFill>
          <a:srgbClr val="FFFFFF"/>
        </a:solidFill>
      </xdr:grpSpPr>
      <xdr:grpSp>
        <xdr:nvGrpSpPr>
          <xdr:cNvPr id="41" name="Group 255"/>
          <xdr:cNvGrpSpPr>
            <a:grpSpLocks/>
          </xdr:cNvGrpSpPr>
        </xdr:nvGrpSpPr>
        <xdr:grpSpPr>
          <a:xfrm>
            <a:off x="304" y="408"/>
            <a:ext cx="266" cy="40"/>
            <a:chOff x="304" y="408"/>
            <a:chExt cx="266" cy="40"/>
          </a:xfrm>
          <a:solidFill>
            <a:srgbClr val="FFFFFF"/>
          </a:solidFill>
        </xdr:grpSpPr>
        <xdr:sp>
          <xdr:nvSpPr>
            <xdr:cNvPr id="42" name="Line 223"/>
            <xdr:cNvSpPr>
              <a:spLocks/>
            </xdr:cNvSpPr>
          </xdr:nvSpPr>
          <xdr:spPr>
            <a:xfrm flipV="1">
              <a:off x="305" y="446"/>
              <a:ext cx="265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Polygon 224"/>
            <xdr:cNvSpPr>
              <a:spLocks/>
            </xdr:cNvSpPr>
          </xdr:nvSpPr>
          <xdr:spPr>
            <a:xfrm>
              <a:off x="344" y="435"/>
              <a:ext cx="19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Polygon 225"/>
            <xdr:cNvSpPr>
              <a:spLocks/>
            </xdr:cNvSpPr>
          </xdr:nvSpPr>
          <xdr:spPr>
            <a:xfrm>
              <a:off x="431" y="434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Polygon 226"/>
            <xdr:cNvSpPr>
              <a:spLocks/>
            </xdr:cNvSpPr>
          </xdr:nvSpPr>
          <xdr:spPr>
            <a:xfrm>
              <a:off x="518" y="434"/>
              <a:ext cx="20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27"/>
            <xdr:cNvSpPr>
              <a:spLocks/>
            </xdr:cNvSpPr>
          </xdr:nvSpPr>
          <xdr:spPr>
            <a:xfrm>
              <a:off x="304" y="434"/>
              <a:ext cx="2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228"/>
            <xdr:cNvSpPr>
              <a:spLocks/>
            </xdr:cNvSpPr>
          </xdr:nvSpPr>
          <xdr:spPr>
            <a:xfrm flipH="1" flipV="1">
              <a:off x="307" y="409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229"/>
            <xdr:cNvSpPr>
              <a:spLocks/>
            </xdr:cNvSpPr>
          </xdr:nvSpPr>
          <xdr:spPr>
            <a:xfrm>
              <a:off x="568" y="408"/>
              <a:ext cx="1" cy="25"/>
            </a:xfrm>
            <a:custGeom>
              <a:pathLst>
                <a:path h="25" w="1">
                  <a:moveTo>
                    <a:pt x="0" y="25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230"/>
            <xdr:cNvSpPr>
              <a:spLocks/>
            </xdr:cNvSpPr>
          </xdr:nvSpPr>
          <xdr:spPr>
            <a:xfrm>
              <a:off x="362" y="431"/>
              <a:ext cx="68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231"/>
            <xdr:cNvSpPr>
              <a:spLocks/>
            </xdr:cNvSpPr>
          </xdr:nvSpPr>
          <xdr:spPr>
            <a:xfrm>
              <a:off x="450" y="431"/>
              <a:ext cx="68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232"/>
            <xdr:cNvSpPr>
              <a:spLocks/>
            </xdr:cNvSpPr>
          </xdr:nvSpPr>
          <xdr:spPr>
            <a:xfrm>
              <a:off x="307" y="432"/>
              <a:ext cx="38" cy="16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233"/>
            <xdr:cNvSpPr>
              <a:spLocks/>
            </xdr:cNvSpPr>
          </xdr:nvSpPr>
          <xdr:spPr>
            <a:xfrm flipH="1">
              <a:off x="538" y="431"/>
              <a:ext cx="31" cy="17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" name="AutoShape 234"/>
          <xdr:cNvSpPr>
            <a:spLocks/>
          </xdr:cNvSpPr>
        </xdr:nvSpPr>
        <xdr:spPr>
          <a:xfrm>
            <a:off x="348" y="416"/>
            <a:ext cx="94" cy="1"/>
          </a:xfrm>
          <a:custGeom>
            <a:pathLst>
              <a:path h="1" w="93">
                <a:moveTo>
                  <a:pt x="0" y="0"/>
                </a:moveTo>
                <a:lnTo>
                  <a:pt x="12" y="0"/>
                </a:lnTo>
                <a:lnTo>
                  <a:pt x="9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35"/>
          <xdr:cNvSpPr>
            <a:spLocks/>
          </xdr:cNvSpPr>
        </xdr:nvSpPr>
        <xdr:spPr>
          <a:xfrm>
            <a:off x="346" y="413"/>
            <a:ext cx="1" cy="21"/>
          </a:xfrm>
          <a:custGeom>
            <a:pathLst>
              <a:path h="21" w="1">
                <a:moveTo>
                  <a:pt x="0" y="2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36"/>
          <xdr:cNvSpPr>
            <a:spLocks/>
          </xdr:cNvSpPr>
        </xdr:nvSpPr>
        <xdr:spPr>
          <a:xfrm>
            <a:off x="442" y="411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37"/>
          <xdr:cNvSpPr>
            <a:spLocks/>
          </xdr:cNvSpPr>
        </xdr:nvSpPr>
        <xdr:spPr>
          <a:xfrm>
            <a:off x="360" y="392"/>
            <a:ext cx="10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Espacement</a:t>
            </a:r>
          </a:p>
        </xdr:txBody>
      </xdr:sp>
    </xdr:grpSp>
    <xdr:clientData/>
  </xdr:twoCellAnchor>
  <xdr:twoCellAnchor>
    <xdr:from>
      <xdr:col>6</xdr:col>
      <xdr:colOff>142875</xdr:colOff>
      <xdr:row>21</xdr:row>
      <xdr:rowOff>104775</xdr:rowOff>
    </xdr:from>
    <xdr:to>
      <xdr:col>8</xdr:col>
      <xdr:colOff>742950</xdr:colOff>
      <xdr:row>25</xdr:row>
      <xdr:rowOff>95250</xdr:rowOff>
    </xdr:to>
    <xdr:grpSp>
      <xdr:nvGrpSpPr>
        <xdr:cNvPr id="57" name="Group 238"/>
        <xdr:cNvGrpSpPr>
          <a:grpSpLocks/>
        </xdr:cNvGrpSpPr>
      </xdr:nvGrpSpPr>
      <xdr:grpSpPr>
        <a:xfrm>
          <a:off x="5915025" y="4219575"/>
          <a:ext cx="2333625" cy="638175"/>
          <a:chOff x="589" y="383"/>
          <a:chExt cx="245" cy="67"/>
        </a:xfrm>
        <a:solidFill>
          <a:srgbClr val="FFFFFF"/>
        </a:solidFill>
      </xdr:grpSpPr>
      <xdr:sp>
        <xdr:nvSpPr>
          <xdr:cNvPr id="58" name="Polygon 239"/>
          <xdr:cNvSpPr>
            <a:spLocks/>
          </xdr:cNvSpPr>
        </xdr:nvSpPr>
        <xdr:spPr>
          <a:xfrm>
            <a:off x="590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40"/>
          <xdr:cNvSpPr>
            <a:spLocks/>
          </xdr:cNvSpPr>
        </xdr:nvSpPr>
        <xdr:spPr>
          <a:xfrm>
            <a:off x="590" y="449"/>
            <a:ext cx="24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Polygon 241"/>
          <xdr:cNvSpPr>
            <a:spLocks/>
          </xdr:cNvSpPr>
        </xdr:nvSpPr>
        <xdr:spPr>
          <a:xfrm>
            <a:off x="658" y="436"/>
            <a:ext cx="16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Polygon 242"/>
          <xdr:cNvSpPr>
            <a:spLocks/>
          </xdr:cNvSpPr>
        </xdr:nvSpPr>
        <xdr:spPr>
          <a:xfrm>
            <a:off x="725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Polygon 243"/>
          <xdr:cNvSpPr>
            <a:spLocks/>
          </xdr:cNvSpPr>
        </xdr:nvSpPr>
        <xdr:spPr>
          <a:xfrm>
            <a:off x="793" y="436"/>
            <a:ext cx="14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44"/>
          <xdr:cNvSpPr>
            <a:spLocks/>
          </xdr:cNvSpPr>
        </xdr:nvSpPr>
        <xdr:spPr>
          <a:xfrm>
            <a:off x="589" y="435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45"/>
          <xdr:cNvSpPr>
            <a:spLocks/>
          </xdr:cNvSpPr>
        </xdr:nvSpPr>
        <xdr:spPr>
          <a:xfrm>
            <a:off x="589" y="383"/>
            <a:ext cx="1" cy="55"/>
          </a:xfrm>
          <a:custGeom>
            <a:pathLst>
              <a:path h="55" w="1">
                <a:moveTo>
                  <a:pt x="0" y="55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46"/>
          <xdr:cNvSpPr>
            <a:spLocks/>
          </xdr:cNvSpPr>
        </xdr:nvSpPr>
        <xdr:spPr>
          <a:xfrm>
            <a:off x="833" y="391"/>
            <a:ext cx="1" cy="47"/>
          </a:xfrm>
          <a:custGeom>
            <a:pathLst>
              <a:path h="47" w="1">
                <a:moveTo>
                  <a:pt x="0" y="47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247"/>
          <xdr:cNvSpPr>
            <a:spLocks/>
          </xdr:cNvSpPr>
        </xdr:nvSpPr>
        <xdr:spPr>
          <a:xfrm>
            <a:off x="604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248"/>
          <xdr:cNvSpPr>
            <a:spLocks/>
          </xdr:cNvSpPr>
        </xdr:nvSpPr>
        <xdr:spPr>
          <a:xfrm>
            <a:off x="673" y="432"/>
            <a:ext cx="51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49"/>
          <xdr:cNvSpPr>
            <a:spLocks/>
          </xdr:cNvSpPr>
        </xdr:nvSpPr>
        <xdr:spPr>
          <a:xfrm>
            <a:off x="740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50"/>
          <xdr:cNvSpPr>
            <a:spLocks/>
          </xdr:cNvSpPr>
        </xdr:nvSpPr>
        <xdr:spPr>
          <a:xfrm flipH="1">
            <a:off x="808" y="432"/>
            <a:ext cx="25" cy="17"/>
          </a:xfrm>
          <a:prstGeom prst="rt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51"/>
          <xdr:cNvSpPr>
            <a:spLocks/>
          </xdr:cNvSpPr>
        </xdr:nvSpPr>
        <xdr:spPr>
          <a:xfrm>
            <a:off x="733" y="4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52"/>
          <xdr:cNvSpPr>
            <a:spLocks/>
          </xdr:cNvSpPr>
        </xdr:nvSpPr>
        <xdr:spPr>
          <a:xfrm>
            <a:off x="734" y="412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53"/>
          <xdr:cNvSpPr>
            <a:spLocks/>
          </xdr:cNvSpPr>
        </xdr:nvSpPr>
        <xdr:spPr>
          <a:xfrm flipV="1">
            <a:off x="799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254"/>
          <xdr:cNvSpPr>
            <a:spLocks/>
          </xdr:cNvSpPr>
        </xdr:nvSpPr>
        <xdr:spPr>
          <a:xfrm>
            <a:off x="724" y="392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Espacement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95250</xdr:rowOff>
    </xdr:from>
    <xdr:to>
      <xdr:col>7</xdr:col>
      <xdr:colOff>742950</xdr:colOff>
      <xdr:row>20</xdr:row>
      <xdr:rowOff>85725</xdr:rowOff>
    </xdr:to>
    <xdr:grpSp>
      <xdr:nvGrpSpPr>
        <xdr:cNvPr id="1" name="Group 227"/>
        <xdr:cNvGrpSpPr>
          <a:grpSpLocks/>
        </xdr:cNvGrpSpPr>
      </xdr:nvGrpSpPr>
      <xdr:grpSpPr>
        <a:xfrm>
          <a:off x="400050" y="581025"/>
          <a:ext cx="5676900" cy="2743200"/>
          <a:chOff x="42" y="61"/>
          <a:chExt cx="596" cy="288"/>
        </a:xfrm>
        <a:solidFill>
          <a:srgbClr val="FFFFFF"/>
        </a:solidFill>
      </xdr:grpSpPr>
      <xdr:sp>
        <xdr:nvSpPr>
          <xdr:cNvPr id="2" name="Rectangle 210"/>
          <xdr:cNvSpPr>
            <a:spLocks/>
          </xdr:cNvSpPr>
        </xdr:nvSpPr>
        <xdr:spPr>
          <a:xfrm>
            <a:off x="61" y="102"/>
            <a:ext cx="426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de forage 3 ou NIVEAU SUPÉRIEUR</a:t>
            </a:r>
          </a:p>
        </xdr:txBody>
      </xdr:sp>
      <xdr:sp>
        <xdr:nvSpPr>
          <xdr:cNvPr id="3" name="Rectangle 211"/>
          <xdr:cNvSpPr>
            <a:spLocks/>
          </xdr:cNvSpPr>
        </xdr:nvSpPr>
        <xdr:spPr>
          <a:xfrm>
            <a:off x="61" y="177"/>
            <a:ext cx="426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Sous-niveau de forage 2</a:t>
            </a:r>
          </a:p>
        </xdr:txBody>
      </xdr:sp>
      <xdr:sp>
        <xdr:nvSpPr>
          <xdr:cNvPr id="4" name="Rectangle 212"/>
          <xdr:cNvSpPr>
            <a:spLocks/>
          </xdr:cNvSpPr>
        </xdr:nvSpPr>
        <xdr:spPr>
          <a:xfrm>
            <a:off x="66" y="255"/>
            <a:ext cx="426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Sous-niveau de forage 1</a:t>
            </a:r>
          </a:p>
        </xdr:txBody>
      </xdr:sp>
      <xdr:sp>
        <xdr:nvSpPr>
          <xdr:cNvPr id="5" name="Rectangle 213"/>
          <xdr:cNvSpPr>
            <a:spLocks/>
          </xdr:cNvSpPr>
        </xdr:nvSpPr>
        <xdr:spPr>
          <a:xfrm>
            <a:off x="463" y="117"/>
            <a:ext cx="16" cy="60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14"/>
          <xdr:cNvSpPr>
            <a:spLocks/>
          </xdr:cNvSpPr>
        </xdr:nvSpPr>
        <xdr:spPr>
          <a:xfrm>
            <a:off x="461" y="198"/>
            <a:ext cx="16" cy="56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15"/>
          <xdr:cNvSpPr>
            <a:spLocks/>
          </xdr:cNvSpPr>
        </xdr:nvSpPr>
        <xdr:spPr>
          <a:xfrm>
            <a:off x="461" y="274"/>
            <a:ext cx="16" cy="69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216"/>
          <xdr:cNvSpPr txBox="1">
            <a:spLocks noChangeArrowheads="1"/>
          </xdr:cNvSpPr>
        </xdr:nvSpPr>
        <xdr:spPr>
          <a:xfrm>
            <a:off x="560" y="205"/>
            <a:ext cx="78" cy="42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Monteries 
ascendantes</a:t>
            </a:r>
          </a:p>
        </xdr:txBody>
      </xdr:sp>
      <xdr:sp>
        <xdr:nvSpPr>
          <xdr:cNvPr id="9" name="AutoShape 217"/>
          <xdr:cNvSpPr>
            <a:spLocks/>
          </xdr:cNvSpPr>
        </xdr:nvSpPr>
        <xdr:spPr>
          <a:xfrm rot="5400000">
            <a:off x="507" y="217"/>
            <a:ext cx="62" cy="122"/>
          </a:xfrm>
          <a:prstGeom prst="curvedConnector2">
            <a:avLst>
              <a:gd name="adj1" fmla="val -1016129"/>
              <a:gd name="adj2" fmla="val -252458"/>
              <a:gd name="adj3" fmla="val -101612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18"/>
          <xdr:cNvSpPr>
            <a:spLocks/>
          </xdr:cNvSpPr>
        </xdr:nvSpPr>
        <xdr:spPr>
          <a:xfrm flipH="1">
            <a:off x="477" y="226"/>
            <a:ext cx="83" cy="0"/>
          </a:xfrm>
          <a:prstGeom prst="straightConnector1">
            <a:avLst>
              <a:gd name="adj1" fmla="val 0"/>
              <a:gd name="adj2" fmla="val -51783333"/>
              <a:gd name="adj3" fmla="val -723254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19"/>
          <xdr:cNvSpPr>
            <a:spLocks/>
          </xdr:cNvSpPr>
        </xdr:nvSpPr>
        <xdr:spPr>
          <a:xfrm rot="5400000" flipH="1">
            <a:off x="510" y="116"/>
            <a:ext cx="58" cy="120"/>
          </a:xfrm>
          <a:prstGeom prst="curvedConnector2">
            <a:avLst>
              <a:gd name="adj1" fmla="val -1082759"/>
              <a:gd name="adj2" fmla="val 120833"/>
              <a:gd name="adj3" fmla="val -108275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220"/>
          <xdr:cNvSpPr txBox="1">
            <a:spLocks noChangeArrowheads="1"/>
          </xdr:cNvSpPr>
        </xdr:nvSpPr>
        <xdr:spPr>
          <a:xfrm>
            <a:off x="42" y="61"/>
            <a:ext cx="312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Schéma typique - Longs Trous</a:t>
            </a:r>
          </a:p>
        </xdr:txBody>
      </xdr:sp>
      <xdr:sp>
        <xdr:nvSpPr>
          <xdr:cNvPr id="13" name="Rectangle 221"/>
          <xdr:cNvSpPr>
            <a:spLocks/>
          </xdr:cNvSpPr>
        </xdr:nvSpPr>
        <xdr:spPr>
          <a:xfrm>
            <a:off x="66" y="329"/>
            <a:ext cx="42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NIVEAU INFÉRIEUR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4"/>
  <sheetViews>
    <sheetView tabSelected="1" zoomScale="75" zoomScaleNormal="75" workbookViewId="0" topLeftCell="A106">
      <selection activeCell="H119" sqref="H119:I119"/>
    </sheetView>
  </sheetViews>
  <sheetFormatPr defaultColWidth="9.140625" defaultRowHeight="12.75"/>
  <cols>
    <col min="1" max="1" width="20.00390625" style="0" customWidth="1"/>
    <col min="2" max="2" width="12.7109375" style="0" customWidth="1"/>
    <col min="3" max="4" width="13.28125" style="0" customWidth="1"/>
    <col min="5" max="5" width="15.7109375" style="0" customWidth="1"/>
    <col min="6" max="6" width="14.421875" style="0" customWidth="1"/>
    <col min="7" max="7" width="13.7109375" style="0" customWidth="1"/>
    <col min="8" max="8" width="14.140625" style="0" customWidth="1"/>
    <col min="9" max="9" width="16.57421875" style="0" customWidth="1"/>
    <col min="10" max="16384" width="11.421875" style="0" customWidth="1"/>
  </cols>
  <sheetData>
    <row r="2" spans="1:6" ht="31.5">
      <c r="A2" s="164" t="s">
        <v>70</v>
      </c>
      <c r="F2" s="162"/>
    </row>
    <row r="3" spans="1:9" ht="13.5" thickBot="1">
      <c r="A3" s="7"/>
      <c r="B3" s="7"/>
      <c r="C3" s="7"/>
      <c r="D3" s="7"/>
      <c r="E3" s="7"/>
      <c r="F3" s="7"/>
      <c r="G3" s="7"/>
      <c r="H3" s="7"/>
      <c r="I3" s="176" t="s">
        <v>208</v>
      </c>
    </row>
    <row r="5" ht="24.75">
      <c r="A5" s="103" t="s">
        <v>43</v>
      </c>
    </row>
    <row r="6" spans="3:6" ht="12.75">
      <c r="C6" s="10"/>
      <c r="D6" s="10"/>
      <c r="E6" s="10"/>
      <c r="F6" s="10"/>
    </row>
    <row r="7" spans="3:6" ht="12.75">
      <c r="C7" s="10"/>
      <c r="D7" s="10"/>
      <c r="E7" s="10"/>
      <c r="F7" s="10"/>
    </row>
    <row r="8" spans="1:6" ht="12.75">
      <c r="A8" s="203" t="s">
        <v>63</v>
      </c>
      <c r="D8" s="10"/>
      <c r="E8" s="10"/>
      <c r="F8" s="10"/>
    </row>
    <row r="9" spans="3:9" ht="12.75">
      <c r="C9" s="284" t="s">
        <v>65</v>
      </c>
      <c r="H9" s="10"/>
      <c r="I9" s="17" t="s">
        <v>69</v>
      </c>
    </row>
    <row r="10" spans="1:9" ht="12.75">
      <c r="A10" s="18" t="s">
        <v>50</v>
      </c>
      <c r="B10" s="19" t="s">
        <v>64</v>
      </c>
      <c r="C10" s="285"/>
      <c r="D10" s="18" t="s">
        <v>66</v>
      </c>
      <c r="E10" s="259" t="s">
        <v>67</v>
      </c>
      <c r="F10" s="261"/>
      <c r="H10" s="19" t="s">
        <v>68</v>
      </c>
      <c r="I10" s="20" t="s">
        <v>13</v>
      </c>
    </row>
    <row r="11" spans="1:9" ht="12.75">
      <c r="A11" s="66">
        <f>92.5</f>
        <v>92.5</v>
      </c>
      <c r="B11" s="105">
        <v>3</v>
      </c>
      <c r="C11" s="66">
        <v>60</v>
      </c>
      <c r="D11" s="66">
        <v>90</v>
      </c>
      <c r="E11" s="286">
        <f>C11/COS((90-D11)*PI()/180)</f>
        <v>60</v>
      </c>
      <c r="F11" s="286"/>
      <c r="H11" s="66">
        <v>3.75</v>
      </c>
      <c r="I11" s="66">
        <v>1.38</v>
      </c>
    </row>
    <row r="12" spans="1:9" ht="12.75">
      <c r="A12" s="206"/>
      <c r="B12" s="207"/>
      <c r="C12" s="206"/>
      <c r="D12" s="206"/>
      <c r="E12" s="207"/>
      <c r="F12" s="207"/>
      <c r="G12" s="210"/>
      <c r="H12" s="206"/>
      <c r="I12" s="208"/>
    </row>
    <row r="13" spans="1:9" ht="12.75">
      <c r="A13" s="206"/>
      <c r="B13" s="207"/>
      <c r="C13" s="206"/>
      <c r="D13" s="206"/>
      <c r="E13" s="207"/>
      <c r="F13" s="207"/>
      <c r="H13" s="206"/>
      <c r="I13" s="208"/>
    </row>
    <row r="16" spans="1:5" ht="12.75">
      <c r="A16" s="291" t="s">
        <v>207</v>
      </c>
      <c r="B16" s="291"/>
      <c r="C16" s="291" t="s">
        <v>8</v>
      </c>
      <c r="D16" s="291"/>
      <c r="E16" s="291"/>
    </row>
    <row r="17" spans="1:5" ht="12.75">
      <c r="A17" s="163" t="s">
        <v>71</v>
      </c>
      <c r="B17" s="163" t="s">
        <v>73</v>
      </c>
      <c r="C17" s="163" t="s">
        <v>71</v>
      </c>
      <c r="D17" s="163" t="s">
        <v>73</v>
      </c>
      <c r="E17" s="163" t="s">
        <v>72</v>
      </c>
    </row>
    <row r="18" spans="1:5" ht="12.75">
      <c r="A18" s="36">
        <f>+A11*C11*H11*(B11/SIN((D11)*PI()/180))</f>
        <v>62437.5</v>
      </c>
      <c r="B18" s="114">
        <v>4.5</v>
      </c>
      <c r="C18" s="36">
        <f>A18*(1+E18)</f>
        <v>66808.125</v>
      </c>
      <c r="D18" s="22">
        <f>(+A18*B18+A18*E18)/C18</f>
        <v>4.271028037383178</v>
      </c>
      <c r="E18" s="115">
        <v>0.07</v>
      </c>
    </row>
    <row r="23" spans="2:6" ht="12.75">
      <c r="B23" s="23"/>
      <c r="C23" s="24"/>
      <c r="D23" s="23"/>
      <c r="E23" s="24"/>
      <c r="F23" s="25"/>
    </row>
    <row r="24" spans="2:6" ht="12.75">
      <c r="B24" s="23"/>
      <c r="C24" s="24"/>
      <c r="D24" s="23"/>
      <c r="F24" s="26"/>
    </row>
    <row r="28" ht="24.75">
      <c r="A28" s="103" t="s">
        <v>74</v>
      </c>
    </row>
    <row r="29" spans="2:6" ht="12.75">
      <c r="B29" s="23"/>
      <c r="C29" s="24"/>
      <c r="D29" s="23"/>
      <c r="F29" s="26"/>
    </row>
    <row r="30" ht="19.5">
      <c r="A30" s="104" t="s">
        <v>75</v>
      </c>
    </row>
    <row r="31" spans="1:6" ht="19.5">
      <c r="A31" s="104"/>
      <c r="B31" s="23"/>
      <c r="C31" s="24"/>
      <c r="D31" s="23"/>
      <c r="E31" s="24"/>
      <c r="F31" s="25"/>
    </row>
    <row r="32" spans="3:8" ht="15" customHeight="1">
      <c r="C32" s="290" t="s">
        <v>15</v>
      </c>
      <c r="D32" s="290"/>
      <c r="G32" s="258" t="s">
        <v>79</v>
      </c>
      <c r="H32" s="258" t="s">
        <v>80</v>
      </c>
    </row>
    <row r="33" spans="3:8" ht="15" customHeight="1">
      <c r="C33" s="38" t="s">
        <v>76</v>
      </c>
      <c r="D33" s="38" t="s">
        <v>6</v>
      </c>
      <c r="E33" s="46" t="s">
        <v>77</v>
      </c>
      <c r="F33" s="58" t="s">
        <v>78</v>
      </c>
      <c r="G33" s="258"/>
      <c r="H33" s="258"/>
    </row>
    <row r="34" spans="1:8" ht="15">
      <c r="A34" s="47" t="s">
        <v>81</v>
      </c>
      <c r="B34" s="44"/>
      <c r="C34" s="105">
        <v>3.7</v>
      </c>
      <c r="D34" s="105">
        <v>3.2</v>
      </c>
      <c r="E34" s="6">
        <f>C34*D34*2.75</f>
        <v>32.56</v>
      </c>
      <c r="F34" s="106">
        <v>3</v>
      </c>
      <c r="G34" s="194">
        <v>2.6</v>
      </c>
      <c r="H34" s="57">
        <f>IF(F34=0,0,+G34/F34)</f>
        <v>0.8666666666666667</v>
      </c>
    </row>
    <row r="35" spans="1:8" ht="15">
      <c r="A35" s="47" t="s">
        <v>82</v>
      </c>
      <c r="B35" s="44"/>
      <c r="C35" s="105">
        <v>3.7</v>
      </c>
      <c r="D35" s="105">
        <v>3.2</v>
      </c>
      <c r="E35" s="6">
        <f>C35*D35*2.75</f>
        <v>32.56</v>
      </c>
      <c r="F35" s="106">
        <v>3</v>
      </c>
      <c r="G35" s="194">
        <v>2.7</v>
      </c>
      <c r="H35" s="57">
        <f aca="true" t="shared" si="0" ref="H35:H42">IF(F35=0,0,+G35/F35)</f>
        <v>0.9</v>
      </c>
    </row>
    <row r="36" spans="1:8" ht="15">
      <c r="A36" s="47" t="s">
        <v>56</v>
      </c>
      <c r="B36" s="44"/>
      <c r="C36" s="105">
        <v>3</v>
      </c>
      <c r="D36" s="105">
        <v>2.7</v>
      </c>
      <c r="E36" s="6">
        <f>C36*D36*$H$13</f>
        <v>0</v>
      </c>
      <c r="F36" s="106">
        <v>2</v>
      </c>
      <c r="G36" s="242">
        <v>1.8</v>
      </c>
      <c r="H36" s="57">
        <f>+G36/F36</f>
        <v>0.9</v>
      </c>
    </row>
    <row r="37" spans="1:8" ht="15">
      <c r="A37" s="47" t="s">
        <v>83</v>
      </c>
      <c r="B37" s="44"/>
      <c r="C37" s="105">
        <v>1.8</v>
      </c>
      <c r="D37" s="105">
        <v>2.4</v>
      </c>
      <c r="E37" s="6">
        <f>C37*D37*$H$13</f>
        <v>0</v>
      </c>
      <c r="F37" s="106">
        <v>2</v>
      </c>
      <c r="G37" s="242">
        <v>1.8</v>
      </c>
      <c r="H37" s="57">
        <f>+G37/F37</f>
        <v>0.9</v>
      </c>
    </row>
    <row r="38" spans="1:8" ht="15">
      <c r="A38" s="47" t="s">
        <v>84</v>
      </c>
      <c r="B38" s="44"/>
      <c r="C38" s="105">
        <v>2.7</v>
      </c>
      <c r="D38" s="105">
        <v>2.7</v>
      </c>
      <c r="E38" s="6">
        <f>C38*D38*2.75</f>
        <v>20.047500000000003</v>
      </c>
      <c r="F38" s="106">
        <v>2</v>
      </c>
      <c r="G38" s="194">
        <v>2.3</v>
      </c>
      <c r="H38" s="57">
        <f t="shared" si="0"/>
        <v>1.15</v>
      </c>
    </row>
    <row r="39" spans="1:8" ht="15">
      <c r="A39" s="47" t="s">
        <v>201</v>
      </c>
      <c r="B39" s="44"/>
      <c r="C39" s="105">
        <v>1.8</v>
      </c>
      <c r="D39" s="105">
        <v>2.4</v>
      </c>
      <c r="E39" s="6">
        <f>C39*D39*$H$13</f>
        <v>0</v>
      </c>
      <c r="F39" s="106">
        <v>2</v>
      </c>
      <c r="G39" s="242">
        <v>2.3</v>
      </c>
      <c r="H39" s="57">
        <f>+G39/F39</f>
        <v>1.15</v>
      </c>
    </row>
    <row r="40" spans="1:8" ht="15">
      <c r="A40" s="47" t="s">
        <v>85</v>
      </c>
      <c r="B40" s="44"/>
      <c r="C40" s="105">
        <v>3</v>
      </c>
      <c r="D40" s="105">
        <v>2.6</v>
      </c>
      <c r="E40" s="6">
        <f>C40*D40*$H$11</f>
        <v>29.250000000000004</v>
      </c>
      <c r="F40" s="106">
        <v>3</v>
      </c>
      <c r="G40" s="194">
        <v>2.9</v>
      </c>
      <c r="H40" s="57">
        <f t="shared" si="0"/>
        <v>0.9666666666666667</v>
      </c>
    </row>
    <row r="41" spans="1:8" ht="15">
      <c r="A41" s="47" t="s">
        <v>86</v>
      </c>
      <c r="B41" s="44"/>
      <c r="C41" s="105">
        <v>4</v>
      </c>
      <c r="D41" s="105">
        <v>2.6</v>
      </c>
      <c r="E41" s="6">
        <f>C41*D41*$H$11</f>
        <v>39</v>
      </c>
      <c r="F41" s="106">
        <v>3</v>
      </c>
      <c r="G41" s="194">
        <v>2.9</v>
      </c>
      <c r="H41" s="57">
        <f t="shared" si="0"/>
        <v>0.9666666666666667</v>
      </c>
    </row>
    <row r="42" spans="1:8" ht="15">
      <c r="A42" s="47" t="s">
        <v>87</v>
      </c>
      <c r="B42" s="44"/>
      <c r="C42" s="105">
        <v>6</v>
      </c>
      <c r="D42" s="105">
        <v>3.2</v>
      </c>
      <c r="E42" s="6">
        <f>C42*D42*$H$11</f>
        <v>72.00000000000001</v>
      </c>
      <c r="F42" s="106">
        <v>3</v>
      </c>
      <c r="G42" s="194">
        <v>2.9</v>
      </c>
      <c r="H42" s="57">
        <f t="shared" si="0"/>
        <v>0.9666666666666667</v>
      </c>
    </row>
    <row r="43" spans="1:8" ht="15">
      <c r="A43" s="211"/>
      <c r="B43" s="212"/>
      <c r="C43" s="207"/>
      <c r="D43" s="207"/>
      <c r="E43" s="207"/>
      <c r="F43" s="213"/>
      <c r="G43" s="214"/>
      <c r="H43" s="215"/>
    </row>
    <row r="44" ht="22.5">
      <c r="A44" s="27"/>
    </row>
    <row r="45" ht="22.5">
      <c r="A45" s="27"/>
    </row>
    <row r="46" ht="22.5">
      <c r="A46" s="27"/>
    </row>
    <row r="47" ht="22.5">
      <c r="A47" s="27"/>
    </row>
    <row r="48" ht="22.5">
      <c r="A48" s="27"/>
    </row>
    <row r="49" ht="22.5">
      <c r="A49" s="27"/>
    </row>
    <row r="50" ht="22.5">
      <c r="A50" s="27"/>
    </row>
    <row r="51" ht="22.5">
      <c r="A51" s="27"/>
    </row>
    <row r="52" ht="22.5">
      <c r="A52" s="27"/>
    </row>
    <row r="53" ht="22.5">
      <c r="A53" s="27"/>
    </row>
    <row r="54" ht="22.5">
      <c r="A54" s="27"/>
    </row>
    <row r="55" ht="22.5">
      <c r="A55" s="27"/>
    </row>
    <row r="56" ht="24.75">
      <c r="A56" s="103" t="s">
        <v>88</v>
      </c>
    </row>
    <row r="57" ht="19.5">
      <c r="A57" s="104" t="s">
        <v>89</v>
      </c>
    </row>
    <row r="58" ht="9" customHeight="1" thickBot="1">
      <c r="A58" s="27"/>
    </row>
    <row r="59" spans="1:9" ht="15">
      <c r="A59" s="90" t="s">
        <v>21</v>
      </c>
      <c r="B59" s="287" t="s">
        <v>96</v>
      </c>
      <c r="C59" s="288"/>
      <c r="D59" s="288"/>
      <c r="E59" s="289"/>
      <c r="F59" s="256" t="s">
        <v>38</v>
      </c>
      <c r="G59" s="257"/>
      <c r="H59" s="256" t="s">
        <v>42</v>
      </c>
      <c r="I59" s="257"/>
    </row>
    <row r="60" spans="1:9" ht="12.75">
      <c r="A60" s="91" t="s">
        <v>22</v>
      </c>
      <c r="B60" s="65" t="s">
        <v>91</v>
      </c>
      <c r="C60" s="38" t="s">
        <v>92</v>
      </c>
      <c r="D60" s="38" t="s">
        <v>93</v>
      </c>
      <c r="E60" s="40" t="s">
        <v>94</v>
      </c>
      <c r="F60" s="65" t="s">
        <v>91</v>
      </c>
      <c r="G60" s="40" t="s">
        <v>92</v>
      </c>
      <c r="H60" s="39" t="s">
        <v>91</v>
      </c>
      <c r="I60" s="40" t="s">
        <v>95</v>
      </c>
    </row>
    <row r="61" spans="1:9" ht="12.75">
      <c r="A61" s="216" t="s">
        <v>58</v>
      </c>
      <c r="B61" s="116">
        <v>92.5</v>
      </c>
      <c r="C61" s="66">
        <v>29.3</v>
      </c>
      <c r="D61" s="115">
        <v>0.05</v>
      </c>
      <c r="E61" s="117">
        <v>4.29</v>
      </c>
      <c r="F61" s="116"/>
      <c r="G61" s="118"/>
      <c r="H61" s="12">
        <f>+F61+B61</f>
        <v>92.5</v>
      </c>
      <c r="I61" s="14">
        <f>ROUND(+G61*F61+C61*B61,0)</f>
        <v>2710</v>
      </c>
    </row>
    <row r="62" spans="1:9" ht="12.75">
      <c r="A62" s="217" t="s">
        <v>90</v>
      </c>
      <c r="B62" s="116">
        <v>7.5</v>
      </c>
      <c r="C62" s="66">
        <v>29.3</v>
      </c>
      <c r="D62" s="115">
        <v>0.05</v>
      </c>
      <c r="E62" s="117">
        <v>4.29</v>
      </c>
      <c r="F62" s="116"/>
      <c r="G62" s="118"/>
      <c r="H62" s="12">
        <f>+B62+F62</f>
        <v>7.5</v>
      </c>
      <c r="I62" s="14">
        <f>ROUND(+G62*F62+C62*B62,0)</f>
        <v>220</v>
      </c>
    </row>
    <row r="63" spans="1:9" ht="13.5" thickBot="1">
      <c r="A63" s="218"/>
      <c r="B63" s="112"/>
      <c r="C63" s="119"/>
      <c r="D63" s="120"/>
      <c r="E63" s="121"/>
      <c r="F63" s="112"/>
      <c r="G63" s="122"/>
      <c r="H63" s="12">
        <f>+B63+F63</f>
        <v>0</v>
      </c>
      <c r="I63" s="14">
        <f>ROUND(+G63*F63+C63*B63,0)</f>
        <v>0</v>
      </c>
    </row>
    <row r="64" spans="1:9" ht="15.75" thickBot="1">
      <c r="A64" s="93" t="s">
        <v>24</v>
      </c>
      <c r="B64" s="94">
        <f>SUM(B61:B63)</f>
        <v>100</v>
      </c>
      <c r="C64" s="99">
        <f>IF(B64=0,0,SUMPRODUCT(B61:B63,C61:C63)/B64)</f>
        <v>29.3</v>
      </c>
      <c r="D64" s="95"/>
      <c r="E64" s="96">
        <f>IF(B64=0,0,(SUMPRODUCT(B61:B63,C61:C63,E61:E63)/B64/C64))</f>
        <v>4.29</v>
      </c>
      <c r="F64" s="93">
        <f>SUM(F61:F63)</f>
        <v>0</v>
      </c>
      <c r="G64" s="175">
        <f>IF(F64=0,0,SUMPRODUCT(F61:F63,G61:G63)/F64)</f>
        <v>0</v>
      </c>
      <c r="H64" s="94">
        <f>SUM(H61:H62)</f>
        <v>100</v>
      </c>
      <c r="I64" s="97">
        <f>SUM(I61:I62)</f>
        <v>2930</v>
      </c>
    </row>
    <row r="65" ht="15.75" customHeight="1" thickBot="1"/>
    <row r="66" spans="1:9" ht="15">
      <c r="A66" s="90" t="s">
        <v>21</v>
      </c>
      <c r="B66" s="287" t="s">
        <v>96</v>
      </c>
      <c r="C66" s="288"/>
      <c r="D66" s="288"/>
      <c r="E66" s="289"/>
      <c r="F66" s="256" t="s">
        <v>38</v>
      </c>
      <c r="G66" s="257"/>
      <c r="H66" s="256" t="s">
        <v>42</v>
      </c>
      <c r="I66" s="257"/>
    </row>
    <row r="67" spans="1:9" ht="12.75">
      <c r="A67" s="91" t="s">
        <v>23</v>
      </c>
      <c r="B67" s="65" t="s">
        <v>91</v>
      </c>
      <c r="C67" s="38" t="s">
        <v>92</v>
      </c>
      <c r="D67" s="38" t="s">
        <v>93</v>
      </c>
      <c r="E67" s="40" t="s">
        <v>94</v>
      </c>
      <c r="F67" s="65" t="s">
        <v>91</v>
      </c>
      <c r="G67" s="40" t="s">
        <v>92</v>
      </c>
      <c r="H67" s="39" t="s">
        <v>91</v>
      </c>
      <c r="I67" s="40" t="s">
        <v>95</v>
      </c>
    </row>
    <row r="68" spans="1:9" ht="12.75">
      <c r="A68" s="216" t="s">
        <v>57</v>
      </c>
      <c r="B68" s="116">
        <v>92.5</v>
      </c>
      <c r="C68" s="66">
        <v>29.3</v>
      </c>
      <c r="D68" s="115">
        <v>0.05</v>
      </c>
      <c r="E68" s="117">
        <v>4.29</v>
      </c>
      <c r="F68" s="116"/>
      <c r="G68" s="118"/>
      <c r="H68" s="12">
        <f>+B68+F68</f>
        <v>92.5</v>
      </c>
      <c r="I68" s="14">
        <f aca="true" t="shared" si="1" ref="I68:I79">ROUND(+G68*F68+C68*B68,0)</f>
        <v>2710</v>
      </c>
    </row>
    <row r="69" spans="1:9" ht="12.75">
      <c r="A69" s="217" t="s">
        <v>56</v>
      </c>
      <c r="B69" s="116"/>
      <c r="C69" s="66"/>
      <c r="D69" s="115"/>
      <c r="E69" s="117"/>
      <c r="F69" s="116"/>
      <c r="G69" s="118"/>
      <c r="H69" s="12">
        <f>+F69+B69</f>
        <v>0</v>
      </c>
      <c r="I69" s="14">
        <f t="shared" si="1"/>
        <v>0</v>
      </c>
    </row>
    <row r="70" spans="1:9" ht="12.75">
      <c r="A70" s="217" t="s">
        <v>39</v>
      </c>
      <c r="B70" s="116"/>
      <c r="C70" s="66"/>
      <c r="D70" s="115"/>
      <c r="E70" s="117"/>
      <c r="F70" s="116"/>
      <c r="G70" s="118"/>
      <c r="H70" s="12">
        <f>+F70+B70</f>
        <v>0</v>
      </c>
      <c r="I70" s="14">
        <f t="shared" si="1"/>
        <v>0</v>
      </c>
    </row>
    <row r="71" spans="1:9" ht="12.75">
      <c r="A71" s="217" t="s">
        <v>41</v>
      </c>
      <c r="B71" s="116"/>
      <c r="C71" s="66"/>
      <c r="D71" s="115"/>
      <c r="E71" s="117"/>
      <c r="F71" s="116"/>
      <c r="G71" s="118"/>
      <c r="H71" s="12">
        <f>+F71+B71</f>
        <v>0</v>
      </c>
      <c r="I71" s="14">
        <f>ROUND(+G71*F71+C71*B71,0)</f>
        <v>0</v>
      </c>
    </row>
    <row r="72" spans="1:9" ht="12.75">
      <c r="A72" s="217" t="s">
        <v>27</v>
      </c>
      <c r="B72" s="116"/>
      <c r="C72" s="66"/>
      <c r="D72" s="115"/>
      <c r="E72" s="117"/>
      <c r="F72" s="116"/>
      <c r="G72" s="118"/>
      <c r="H72" s="12">
        <f>+F72+B72</f>
        <v>0</v>
      </c>
      <c r="I72" s="14">
        <f>ROUND(+G72*F72+C72*B72,0)</f>
        <v>0</v>
      </c>
    </row>
    <row r="73" spans="1:9" ht="12.75">
      <c r="A73" s="217" t="s">
        <v>27</v>
      </c>
      <c r="B73" s="116"/>
      <c r="C73" s="66"/>
      <c r="D73" s="115"/>
      <c r="E73" s="117"/>
      <c r="F73" s="116"/>
      <c r="G73" s="118"/>
      <c r="H73" s="12">
        <f>+F73+B73</f>
        <v>0</v>
      </c>
      <c r="I73" s="14">
        <f t="shared" si="1"/>
        <v>0</v>
      </c>
    </row>
    <row r="74" spans="1:9" ht="12.75">
      <c r="A74" s="217" t="s">
        <v>97</v>
      </c>
      <c r="B74" s="116">
        <v>7.5</v>
      </c>
      <c r="C74" s="66">
        <v>29.3</v>
      </c>
      <c r="D74" s="115">
        <v>0.05</v>
      </c>
      <c r="E74" s="117">
        <v>4.29</v>
      </c>
      <c r="F74" s="116"/>
      <c r="G74" s="118"/>
      <c r="H74" s="12">
        <f aca="true" t="shared" si="2" ref="H74:H79">+B74+F74</f>
        <v>7.5</v>
      </c>
      <c r="I74" s="14">
        <f t="shared" si="1"/>
        <v>220</v>
      </c>
    </row>
    <row r="75" spans="1:9" ht="12.75">
      <c r="A75" s="217" t="s">
        <v>98</v>
      </c>
      <c r="B75" s="116"/>
      <c r="C75" s="66"/>
      <c r="D75" s="115"/>
      <c r="E75" s="117"/>
      <c r="F75" s="116"/>
      <c r="G75" s="118"/>
      <c r="H75" s="12">
        <f t="shared" si="2"/>
        <v>0</v>
      </c>
      <c r="I75" s="14">
        <f>ROUND(+G75*F75+C75*B75,0)</f>
        <v>0</v>
      </c>
    </row>
    <row r="76" spans="1:9" ht="12.75">
      <c r="A76" s="217" t="s">
        <v>99</v>
      </c>
      <c r="B76" s="116"/>
      <c r="C76" s="66"/>
      <c r="D76" s="115"/>
      <c r="E76" s="117"/>
      <c r="F76" s="116"/>
      <c r="G76" s="118"/>
      <c r="H76" s="12">
        <f t="shared" si="2"/>
        <v>0</v>
      </c>
      <c r="I76" s="14">
        <f>ROUND(+G76*F76+C76*B76,0)</f>
        <v>0</v>
      </c>
    </row>
    <row r="77" spans="1:9" ht="12.75">
      <c r="A77" s="217" t="s">
        <v>100</v>
      </c>
      <c r="B77" s="116"/>
      <c r="C77" s="66"/>
      <c r="D77" s="115"/>
      <c r="E77" s="117"/>
      <c r="F77" s="116"/>
      <c r="G77" s="118"/>
      <c r="H77" s="12">
        <f t="shared" si="2"/>
        <v>0</v>
      </c>
      <c r="I77" s="14">
        <f>ROUND(+G77*F77+C77*B77,0)</f>
        <v>0</v>
      </c>
    </row>
    <row r="78" spans="1:9" ht="12.75">
      <c r="A78" s="216" t="s">
        <v>90</v>
      </c>
      <c r="B78" s="116"/>
      <c r="C78" s="66"/>
      <c r="D78" s="115"/>
      <c r="E78" s="117"/>
      <c r="F78" s="116"/>
      <c r="G78" s="118"/>
      <c r="H78" s="12">
        <f t="shared" si="2"/>
        <v>0</v>
      </c>
      <c r="I78" s="14">
        <f t="shared" si="1"/>
        <v>0</v>
      </c>
    </row>
    <row r="79" spans="1:9" ht="13.5" thickBot="1">
      <c r="A79" s="218"/>
      <c r="B79" s="123"/>
      <c r="C79" s="124"/>
      <c r="D79" s="125"/>
      <c r="E79" s="126"/>
      <c r="F79" s="123"/>
      <c r="G79" s="127"/>
      <c r="H79" s="12">
        <f t="shared" si="2"/>
        <v>0</v>
      </c>
      <c r="I79" s="14">
        <f t="shared" si="1"/>
        <v>0</v>
      </c>
    </row>
    <row r="80" spans="1:9" ht="15.75" thickBot="1">
      <c r="A80" s="93" t="s">
        <v>24</v>
      </c>
      <c r="B80" s="94">
        <f>SUM(B68:B79)</f>
        <v>100</v>
      </c>
      <c r="C80" s="99">
        <f>IF(B80=0,0,SUMPRODUCT(B68:B79,C68:C79)/B80)</f>
        <v>29.3</v>
      </c>
      <c r="D80" s="98"/>
      <c r="E80" s="96">
        <f>IF(B80=0,0,(SUMPRODUCT(B68:B79,C68:C79,E68:E79)/B80/C80))</f>
        <v>4.29</v>
      </c>
      <c r="F80" s="94">
        <f>SUM(F68:F79)</f>
        <v>0</v>
      </c>
      <c r="G80" s="99">
        <f>IF(F80=0,0,SUMPRODUCT(F68:F79,G68:G79)/F80)</f>
        <v>0</v>
      </c>
      <c r="H80" s="94">
        <f>SUM(H68:H79)</f>
        <v>100</v>
      </c>
      <c r="I80" s="97">
        <f>SUM(I68:I79)</f>
        <v>2930</v>
      </c>
    </row>
    <row r="81" spans="2:9" ht="12.75">
      <c r="B81" s="5"/>
      <c r="C81" s="5"/>
      <c r="E81" s="5"/>
      <c r="F81" s="5"/>
      <c r="H81" s="5"/>
      <c r="I81" s="5"/>
    </row>
    <row r="82" ht="19.5">
      <c r="A82" s="104" t="s">
        <v>101</v>
      </c>
    </row>
    <row r="84" spans="1:5" ht="12.75">
      <c r="A84" s="43" t="s">
        <v>102</v>
      </c>
      <c r="D84" s="113">
        <v>2</v>
      </c>
      <c r="E84" t="s">
        <v>10</v>
      </c>
    </row>
    <row r="85" spans="1:5" ht="12.75">
      <c r="A85" s="43" t="s">
        <v>103</v>
      </c>
      <c r="D85" s="113">
        <v>20.8</v>
      </c>
      <c r="E85" t="s">
        <v>44</v>
      </c>
    </row>
    <row r="86" spans="1:4" ht="12.75">
      <c r="A86" s="43" t="s">
        <v>104</v>
      </c>
      <c r="D86" s="128">
        <v>0.1</v>
      </c>
    </row>
    <row r="88" ht="19.5">
      <c r="A88" s="104" t="s">
        <v>105</v>
      </c>
    </row>
    <row r="89" ht="9.75" customHeight="1"/>
    <row r="90" spans="3:11" ht="12.75" customHeight="1">
      <c r="C90" s="8"/>
      <c r="D90" s="8"/>
      <c r="E90" s="2"/>
      <c r="F90" s="2"/>
      <c r="G90" s="219" t="s">
        <v>110</v>
      </c>
      <c r="H90" s="8"/>
      <c r="I90" s="8"/>
      <c r="J90" s="2"/>
      <c r="K90" s="2"/>
    </row>
    <row r="91" spans="1:16" ht="15.75" customHeight="1">
      <c r="A91" s="296" t="s">
        <v>106</v>
      </c>
      <c r="B91" s="298"/>
      <c r="C91" s="38" t="s">
        <v>91</v>
      </c>
      <c r="D91" s="38" t="s">
        <v>107</v>
      </c>
      <c r="E91" s="38" t="s">
        <v>108</v>
      </c>
      <c r="F91" s="204" t="s">
        <v>109</v>
      </c>
      <c r="G91" s="220" t="s">
        <v>111</v>
      </c>
      <c r="H91" s="221" t="s">
        <v>42</v>
      </c>
      <c r="I91" s="38" t="s">
        <v>35</v>
      </c>
      <c r="N91" s="174">
        <v>1</v>
      </c>
      <c r="O91" s="174">
        <v>2</v>
      </c>
      <c r="P91" s="174">
        <v>3</v>
      </c>
    </row>
    <row r="92" spans="1:16" ht="15">
      <c r="A92" s="3" t="s">
        <v>58</v>
      </c>
      <c r="B92" s="45"/>
      <c r="C92" s="4">
        <f>H61</f>
        <v>92.5</v>
      </c>
      <c r="D92" s="66">
        <v>2</v>
      </c>
      <c r="E92" s="66">
        <v>2.75</v>
      </c>
      <c r="F92" s="61">
        <f>IF(D92&gt;0,ROUNDUP(+C92/E92/D92,0),0)</f>
        <v>17</v>
      </c>
      <c r="G92" s="66">
        <v>0</v>
      </c>
      <c r="H92" s="61">
        <f>+G92+F92</f>
        <v>17</v>
      </c>
      <c r="I92" s="66">
        <v>2</v>
      </c>
      <c r="K92" s="173">
        <f>+I92</f>
        <v>2</v>
      </c>
      <c r="L92" s="173">
        <f>+G92+F92</f>
        <v>17</v>
      </c>
      <c r="N92">
        <f aca="true" t="shared" si="3" ref="N92:P94">IF($K92=N$100,$L92,0)</f>
        <v>0</v>
      </c>
      <c r="O92">
        <f t="shared" si="3"/>
        <v>17</v>
      </c>
      <c r="P92">
        <f t="shared" si="3"/>
        <v>0</v>
      </c>
    </row>
    <row r="93" spans="1:16" ht="15">
      <c r="A93" s="3" t="s">
        <v>90</v>
      </c>
      <c r="B93" s="45"/>
      <c r="C93" s="4">
        <f>H62</f>
        <v>7.5</v>
      </c>
      <c r="D93" s="66">
        <v>2</v>
      </c>
      <c r="E93" s="66">
        <v>2.75</v>
      </c>
      <c r="F93" s="61">
        <f>IF(D93&gt;0,ROUNDUP(+C93/E93/D93,0),0)</f>
        <v>2</v>
      </c>
      <c r="G93" s="66">
        <v>2</v>
      </c>
      <c r="H93" s="61">
        <f>+G93+F93</f>
        <v>4</v>
      </c>
      <c r="I93" s="66">
        <v>1</v>
      </c>
      <c r="K93" s="173">
        <f>+I93</f>
        <v>1</v>
      </c>
      <c r="L93" s="173">
        <f>+G93+F93</f>
        <v>4</v>
      </c>
      <c r="N93">
        <f t="shared" si="3"/>
        <v>4</v>
      </c>
      <c r="O93">
        <f t="shared" si="3"/>
        <v>0</v>
      </c>
      <c r="P93">
        <f t="shared" si="3"/>
        <v>0</v>
      </c>
    </row>
    <row r="94" spans="1:16" ht="15">
      <c r="A94" s="107">
        <f>IF(+A63=0,"",A63)</f>
      </c>
      <c r="B94" s="108"/>
      <c r="C94" s="4">
        <f>H63</f>
        <v>0</v>
      </c>
      <c r="D94" s="66"/>
      <c r="E94" s="66"/>
      <c r="F94" s="61">
        <f>IF(D94&gt;0,ROUNDUP(+C94/E94/D94,0),0)</f>
        <v>0</v>
      </c>
      <c r="G94" s="66"/>
      <c r="H94" s="61">
        <f>+G94+F94</f>
        <v>0</v>
      </c>
      <c r="I94" s="66"/>
      <c r="K94" s="173">
        <f>+I94</f>
        <v>0</v>
      </c>
      <c r="L94" s="173">
        <f>+G94+F94</f>
        <v>0</v>
      </c>
      <c r="N94" s="174">
        <f t="shared" si="3"/>
        <v>0</v>
      </c>
      <c r="O94" s="174">
        <f t="shared" si="3"/>
        <v>0</v>
      </c>
      <c r="P94" s="174">
        <f t="shared" si="3"/>
        <v>0</v>
      </c>
    </row>
    <row r="95" spans="8:16" ht="12.75">
      <c r="H95" s="5" t="s">
        <v>45</v>
      </c>
      <c r="K95" s="173"/>
      <c r="L95" s="173"/>
      <c r="N95">
        <f>MAX(N92:N94)</f>
        <v>4</v>
      </c>
      <c r="O95">
        <f>MAX(O92:O94)</f>
        <v>17</v>
      </c>
      <c r="P95">
        <f>MAX(P92:P94)</f>
        <v>0</v>
      </c>
    </row>
    <row r="96" spans="8:12" ht="12.75">
      <c r="H96" s="62">
        <f>SUM(N95:R95)</f>
        <v>21</v>
      </c>
      <c r="K96" s="173"/>
      <c r="L96" s="173"/>
    </row>
    <row r="97" spans="8:12" ht="12.75">
      <c r="H97" s="222"/>
      <c r="K97" s="173"/>
      <c r="L97" s="173"/>
    </row>
    <row r="98" spans="11:12" ht="12.75">
      <c r="K98" s="173"/>
      <c r="L98" s="173"/>
    </row>
    <row r="99" ht="12.75" customHeight="1">
      <c r="G99" s="223" t="s">
        <v>113</v>
      </c>
    </row>
    <row r="100" spans="1:24" ht="15.75" customHeight="1">
      <c r="A100" s="296" t="s">
        <v>112</v>
      </c>
      <c r="B100" s="297"/>
      <c r="C100" s="38" t="s">
        <v>91</v>
      </c>
      <c r="D100" s="38" t="s">
        <v>107</v>
      </c>
      <c r="E100" s="38" t="s">
        <v>108</v>
      </c>
      <c r="F100" s="109" t="s">
        <v>109</v>
      </c>
      <c r="G100" s="224" t="s">
        <v>111</v>
      </c>
      <c r="H100" s="221" t="s">
        <v>42</v>
      </c>
      <c r="I100" s="38" t="s">
        <v>35</v>
      </c>
      <c r="N100" s="174">
        <v>1</v>
      </c>
      <c r="O100" s="174">
        <v>2</v>
      </c>
      <c r="P100" s="174">
        <v>3</v>
      </c>
      <c r="Q100" s="174">
        <v>4</v>
      </c>
      <c r="R100" s="174">
        <v>5</v>
      </c>
      <c r="S100" s="174">
        <v>6</v>
      </c>
      <c r="T100" s="174">
        <v>7</v>
      </c>
      <c r="U100" s="174">
        <v>8</v>
      </c>
      <c r="V100" s="174">
        <v>9</v>
      </c>
      <c r="W100" s="174">
        <v>10</v>
      </c>
      <c r="X100" s="174">
        <v>11</v>
      </c>
    </row>
    <row r="101" spans="1:24" ht="15">
      <c r="A101" s="3" t="s">
        <v>57</v>
      </c>
      <c r="B101" s="45"/>
      <c r="C101" s="4">
        <f>+H68</f>
        <v>92.5</v>
      </c>
      <c r="D101" s="66">
        <v>2</v>
      </c>
      <c r="E101" s="66">
        <v>2.75</v>
      </c>
      <c r="F101" s="61">
        <f aca="true" t="shared" si="4" ref="F101:F112">IF(D101&gt;0,ROUNDUP(+C101/E101/D101,0),0)</f>
        <v>17</v>
      </c>
      <c r="G101" s="66">
        <v>0</v>
      </c>
      <c r="H101" s="61">
        <f>+G101+F101</f>
        <v>17</v>
      </c>
      <c r="I101" s="66">
        <v>2</v>
      </c>
      <c r="K101" s="173">
        <f aca="true" t="shared" si="5" ref="K101:K112">+I101</f>
        <v>2</v>
      </c>
      <c r="L101" s="173">
        <f aca="true" t="shared" si="6" ref="L101:L112">+G101+F101</f>
        <v>17</v>
      </c>
      <c r="N101">
        <f aca="true" t="shared" si="7" ref="N101:N112">IF($K101=N$100,$L101,0)</f>
        <v>0</v>
      </c>
      <c r="O101">
        <f aca="true" t="shared" si="8" ref="O101:X112">IF($K101=O$100,$L101,0)</f>
        <v>17</v>
      </c>
      <c r="P101">
        <f t="shared" si="8"/>
        <v>0</v>
      </c>
      <c r="Q101">
        <f t="shared" si="8"/>
        <v>0</v>
      </c>
      <c r="R101">
        <f t="shared" si="8"/>
        <v>0</v>
      </c>
      <c r="S101">
        <f t="shared" si="8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</row>
    <row r="102" spans="1:24" ht="15">
      <c r="A102" s="3" t="s">
        <v>56</v>
      </c>
      <c r="B102" s="45"/>
      <c r="C102" s="4">
        <f aca="true" t="shared" si="9" ref="C102:C112">H69</f>
        <v>0</v>
      </c>
      <c r="D102" s="66"/>
      <c r="E102" s="66"/>
      <c r="F102" s="61">
        <f t="shared" si="4"/>
        <v>0</v>
      </c>
      <c r="G102" s="66"/>
      <c r="H102" s="61">
        <f aca="true" t="shared" si="10" ref="H102:H112">+G102+F102</f>
        <v>0</v>
      </c>
      <c r="I102" s="66"/>
      <c r="K102" s="173">
        <f t="shared" si="5"/>
        <v>0</v>
      </c>
      <c r="L102" s="173">
        <f t="shared" si="6"/>
        <v>0</v>
      </c>
      <c r="N102">
        <f t="shared" si="7"/>
        <v>0</v>
      </c>
      <c r="O102">
        <f t="shared" si="8"/>
        <v>0</v>
      </c>
      <c r="P102">
        <f t="shared" si="8"/>
        <v>0</v>
      </c>
      <c r="Q102">
        <f t="shared" si="8"/>
        <v>0</v>
      </c>
      <c r="R102">
        <f t="shared" si="8"/>
        <v>0</v>
      </c>
      <c r="S102">
        <f t="shared" si="8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</row>
    <row r="103" spans="1:24" ht="15">
      <c r="A103" s="3" t="s">
        <v>39</v>
      </c>
      <c r="B103" s="45"/>
      <c r="C103" s="4">
        <f t="shared" si="9"/>
        <v>0</v>
      </c>
      <c r="D103" s="66"/>
      <c r="E103" s="66"/>
      <c r="F103" s="61">
        <f t="shared" si="4"/>
        <v>0</v>
      </c>
      <c r="G103" s="66"/>
      <c r="H103" s="61">
        <f t="shared" si="10"/>
        <v>0</v>
      </c>
      <c r="I103" s="66"/>
      <c r="K103" s="173">
        <f t="shared" si="5"/>
        <v>0</v>
      </c>
      <c r="L103" s="173">
        <f t="shared" si="6"/>
        <v>0</v>
      </c>
      <c r="N103">
        <f t="shared" si="7"/>
        <v>0</v>
      </c>
      <c r="O103">
        <f t="shared" si="8"/>
        <v>0</v>
      </c>
      <c r="P103">
        <f t="shared" si="8"/>
        <v>0</v>
      </c>
      <c r="Q103">
        <f t="shared" si="8"/>
        <v>0</v>
      </c>
      <c r="R103">
        <f t="shared" si="8"/>
        <v>0</v>
      </c>
      <c r="S103">
        <f t="shared" si="8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</row>
    <row r="104" spans="1:24" ht="15">
      <c r="A104" s="3" t="s">
        <v>41</v>
      </c>
      <c r="B104" s="45"/>
      <c r="C104" s="4">
        <f t="shared" si="9"/>
        <v>0</v>
      </c>
      <c r="D104" s="66"/>
      <c r="E104" s="66"/>
      <c r="F104" s="61">
        <f>IF(D104&gt;0,ROUNDUP(+C104/E104/D104,0),0)</f>
        <v>0</v>
      </c>
      <c r="G104" s="66"/>
      <c r="H104" s="61">
        <f t="shared" si="10"/>
        <v>0</v>
      </c>
      <c r="I104" s="66"/>
      <c r="K104" s="173">
        <f t="shared" si="5"/>
        <v>0</v>
      </c>
      <c r="L104" s="173">
        <f>+G104+F104</f>
        <v>0</v>
      </c>
      <c r="N104">
        <f t="shared" si="7"/>
        <v>0</v>
      </c>
      <c r="O104">
        <f t="shared" si="8"/>
        <v>0</v>
      </c>
      <c r="P104">
        <f t="shared" si="8"/>
        <v>0</v>
      </c>
      <c r="Q104">
        <f t="shared" si="8"/>
        <v>0</v>
      </c>
      <c r="R104">
        <f t="shared" si="8"/>
        <v>0</v>
      </c>
      <c r="S104">
        <f t="shared" si="8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</row>
    <row r="105" spans="1:24" ht="15">
      <c r="A105" s="3" t="s">
        <v>27</v>
      </c>
      <c r="B105" s="45"/>
      <c r="C105" s="4">
        <f t="shared" si="9"/>
        <v>0</v>
      </c>
      <c r="D105" s="66"/>
      <c r="E105" s="66"/>
      <c r="F105" s="61">
        <f>IF(D105&gt;0,ROUNDUP(+C105/E105/D105,0),0)</f>
        <v>0</v>
      </c>
      <c r="G105" s="66"/>
      <c r="H105" s="61">
        <f t="shared" si="10"/>
        <v>0</v>
      </c>
      <c r="I105" s="66"/>
      <c r="K105" s="173">
        <f t="shared" si="5"/>
        <v>0</v>
      </c>
      <c r="L105" s="173">
        <f>+G105+F105</f>
        <v>0</v>
      </c>
      <c r="N105">
        <f t="shared" si="7"/>
        <v>0</v>
      </c>
      <c r="O105">
        <f t="shared" si="8"/>
        <v>0</v>
      </c>
      <c r="P105">
        <f t="shared" si="8"/>
        <v>0</v>
      </c>
      <c r="Q105">
        <f t="shared" si="8"/>
        <v>0</v>
      </c>
      <c r="R105">
        <f t="shared" si="8"/>
        <v>0</v>
      </c>
      <c r="S105">
        <f t="shared" si="8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</row>
    <row r="106" spans="1:24" ht="15">
      <c r="A106" s="3" t="s">
        <v>27</v>
      </c>
      <c r="B106" s="45"/>
      <c r="C106" s="4">
        <f t="shared" si="9"/>
        <v>0</v>
      </c>
      <c r="D106" s="66"/>
      <c r="E106" s="66"/>
      <c r="F106" s="61">
        <f t="shared" si="4"/>
        <v>0</v>
      </c>
      <c r="G106" s="66"/>
      <c r="H106" s="61">
        <f t="shared" si="10"/>
        <v>0</v>
      </c>
      <c r="I106" s="66"/>
      <c r="K106" s="173">
        <f t="shared" si="5"/>
        <v>0</v>
      </c>
      <c r="L106" s="173">
        <f t="shared" si="6"/>
        <v>0</v>
      </c>
      <c r="N106">
        <f t="shared" si="7"/>
        <v>0</v>
      </c>
      <c r="O106">
        <f t="shared" si="8"/>
        <v>0</v>
      </c>
      <c r="P106">
        <f t="shared" si="8"/>
        <v>0</v>
      </c>
      <c r="Q106">
        <f t="shared" si="8"/>
        <v>0</v>
      </c>
      <c r="R106">
        <f t="shared" si="8"/>
        <v>0</v>
      </c>
      <c r="S106">
        <f t="shared" si="8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</row>
    <row r="107" spans="1:24" ht="15">
      <c r="A107" s="3" t="s">
        <v>97</v>
      </c>
      <c r="B107" s="45"/>
      <c r="C107" s="4">
        <f t="shared" si="9"/>
        <v>7.5</v>
      </c>
      <c r="D107" s="66">
        <v>2</v>
      </c>
      <c r="E107" s="66">
        <v>2.75</v>
      </c>
      <c r="F107" s="61">
        <f t="shared" si="4"/>
        <v>2</v>
      </c>
      <c r="G107" s="66">
        <v>2</v>
      </c>
      <c r="H107" s="61">
        <f t="shared" si="10"/>
        <v>4</v>
      </c>
      <c r="I107" s="66">
        <v>1</v>
      </c>
      <c r="K107" s="173">
        <f t="shared" si="5"/>
        <v>1</v>
      </c>
      <c r="L107" s="173">
        <f t="shared" si="6"/>
        <v>4</v>
      </c>
      <c r="N107">
        <f t="shared" si="7"/>
        <v>4</v>
      </c>
      <c r="O107">
        <f t="shared" si="8"/>
        <v>0</v>
      </c>
      <c r="P107">
        <f t="shared" si="8"/>
        <v>0</v>
      </c>
      <c r="Q107">
        <f t="shared" si="8"/>
        <v>0</v>
      </c>
      <c r="R107">
        <f t="shared" si="8"/>
        <v>0</v>
      </c>
      <c r="S107">
        <f t="shared" si="8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</row>
    <row r="108" spans="1:24" ht="15">
      <c r="A108" s="3" t="s">
        <v>98</v>
      </c>
      <c r="B108" s="45"/>
      <c r="C108" s="4">
        <f t="shared" si="9"/>
        <v>0</v>
      </c>
      <c r="D108" s="66"/>
      <c r="E108" s="66"/>
      <c r="F108" s="61">
        <f>IF(D108&gt;0,ROUNDUP(+C108/E108/D108,0),0)</f>
        <v>0</v>
      </c>
      <c r="G108" s="66"/>
      <c r="H108" s="61">
        <f t="shared" si="10"/>
        <v>0</v>
      </c>
      <c r="I108" s="66"/>
      <c r="K108" s="173">
        <f t="shared" si="5"/>
        <v>0</v>
      </c>
      <c r="L108" s="173">
        <f>+G108+F108</f>
        <v>0</v>
      </c>
      <c r="N108">
        <f t="shared" si="7"/>
        <v>0</v>
      </c>
      <c r="O108">
        <f t="shared" si="8"/>
        <v>0</v>
      </c>
      <c r="P108">
        <f t="shared" si="8"/>
        <v>0</v>
      </c>
      <c r="Q108">
        <f t="shared" si="8"/>
        <v>0</v>
      </c>
      <c r="R108">
        <f t="shared" si="8"/>
        <v>0</v>
      </c>
      <c r="S108">
        <f t="shared" si="8"/>
        <v>0</v>
      </c>
      <c r="T108">
        <f t="shared" si="8"/>
        <v>0</v>
      </c>
      <c r="U108">
        <f t="shared" si="8"/>
        <v>0</v>
      </c>
      <c r="V108">
        <f t="shared" si="8"/>
        <v>0</v>
      </c>
      <c r="W108">
        <f t="shared" si="8"/>
        <v>0</v>
      </c>
      <c r="X108">
        <f t="shared" si="8"/>
        <v>0</v>
      </c>
    </row>
    <row r="109" spans="1:24" ht="15">
      <c r="A109" s="3" t="s">
        <v>99</v>
      </c>
      <c r="B109" s="45"/>
      <c r="C109" s="4">
        <f t="shared" si="9"/>
        <v>0</v>
      </c>
      <c r="D109" s="66"/>
      <c r="E109" s="66"/>
      <c r="F109" s="61">
        <f>IF(D109&gt;0,ROUNDUP(+C109/E109/D109,0),0)</f>
        <v>0</v>
      </c>
      <c r="G109" s="66"/>
      <c r="H109" s="61">
        <f>+G109+F109</f>
        <v>0</v>
      </c>
      <c r="I109" s="66"/>
      <c r="K109" s="173">
        <f>+I109</f>
        <v>0</v>
      </c>
      <c r="L109" s="173">
        <f>+G109+F109</f>
        <v>0</v>
      </c>
      <c r="N109">
        <f t="shared" si="7"/>
        <v>0</v>
      </c>
      <c r="O109">
        <f t="shared" si="8"/>
        <v>0</v>
      </c>
      <c r="P109">
        <f t="shared" si="8"/>
        <v>0</v>
      </c>
      <c r="Q109">
        <f t="shared" si="8"/>
        <v>0</v>
      </c>
      <c r="R109">
        <f t="shared" si="8"/>
        <v>0</v>
      </c>
      <c r="S109">
        <f t="shared" si="8"/>
        <v>0</v>
      </c>
      <c r="T109">
        <f t="shared" si="8"/>
        <v>0</v>
      </c>
      <c r="U109">
        <f t="shared" si="8"/>
        <v>0</v>
      </c>
      <c r="V109">
        <f t="shared" si="8"/>
        <v>0</v>
      </c>
      <c r="W109">
        <f t="shared" si="8"/>
        <v>0</v>
      </c>
      <c r="X109">
        <f t="shared" si="8"/>
        <v>0</v>
      </c>
    </row>
    <row r="110" spans="1:24" ht="15">
      <c r="A110" s="3" t="s">
        <v>100</v>
      </c>
      <c r="B110" s="45"/>
      <c r="C110" s="4">
        <f t="shared" si="9"/>
        <v>0</v>
      </c>
      <c r="D110" s="66"/>
      <c r="E110" s="66"/>
      <c r="F110" s="61">
        <f>IF(D110&gt;0,ROUNDUP(+C110/E110/D110,0),0)</f>
        <v>0</v>
      </c>
      <c r="G110" s="66"/>
      <c r="H110" s="61">
        <f t="shared" si="10"/>
        <v>0</v>
      </c>
      <c r="I110" s="66"/>
      <c r="K110" s="173">
        <f t="shared" si="5"/>
        <v>0</v>
      </c>
      <c r="L110" s="173">
        <f>+G110+F110</f>
        <v>0</v>
      </c>
      <c r="N110">
        <f t="shared" si="7"/>
        <v>0</v>
      </c>
      <c r="O110">
        <f t="shared" si="8"/>
        <v>0</v>
      </c>
      <c r="P110">
        <f t="shared" si="8"/>
        <v>0</v>
      </c>
      <c r="Q110">
        <f t="shared" si="8"/>
        <v>0</v>
      </c>
      <c r="R110">
        <f t="shared" si="8"/>
        <v>0</v>
      </c>
      <c r="S110">
        <f t="shared" si="8"/>
        <v>0</v>
      </c>
      <c r="T110">
        <f t="shared" si="8"/>
        <v>0</v>
      </c>
      <c r="U110">
        <f t="shared" si="8"/>
        <v>0</v>
      </c>
      <c r="V110">
        <f t="shared" si="8"/>
        <v>0</v>
      </c>
      <c r="W110">
        <f t="shared" si="8"/>
        <v>0</v>
      </c>
      <c r="X110">
        <f t="shared" si="8"/>
        <v>0</v>
      </c>
    </row>
    <row r="111" spans="1:24" ht="15">
      <c r="A111" s="3" t="s">
        <v>90</v>
      </c>
      <c r="B111" s="45"/>
      <c r="C111" s="4">
        <f t="shared" si="9"/>
        <v>0</v>
      </c>
      <c r="D111" s="66"/>
      <c r="E111" s="66"/>
      <c r="F111" s="61">
        <f t="shared" si="4"/>
        <v>0</v>
      </c>
      <c r="G111" s="66"/>
      <c r="H111" s="61">
        <f t="shared" si="10"/>
        <v>0</v>
      </c>
      <c r="I111" s="66"/>
      <c r="K111" s="173">
        <f t="shared" si="5"/>
        <v>0</v>
      </c>
      <c r="L111" s="173">
        <f>+G111+F111</f>
        <v>0</v>
      </c>
      <c r="N111">
        <f t="shared" si="7"/>
        <v>0</v>
      </c>
      <c r="O111">
        <f t="shared" si="8"/>
        <v>0</v>
      </c>
      <c r="P111">
        <f t="shared" si="8"/>
        <v>0</v>
      </c>
      <c r="Q111">
        <f t="shared" si="8"/>
        <v>0</v>
      </c>
      <c r="R111">
        <f t="shared" si="8"/>
        <v>0</v>
      </c>
      <c r="S111">
        <f t="shared" si="8"/>
        <v>0</v>
      </c>
      <c r="T111">
        <f t="shared" si="8"/>
        <v>0</v>
      </c>
      <c r="U111">
        <f t="shared" si="8"/>
        <v>0</v>
      </c>
      <c r="V111">
        <f t="shared" si="8"/>
        <v>0</v>
      </c>
      <c r="W111">
        <f t="shared" si="8"/>
        <v>0</v>
      </c>
      <c r="X111">
        <f t="shared" si="8"/>
        <v>0</v>
      </c>
    </row>
    <row r="112" spans="1:24" ht="15">
      <c r="A112" s="107">
        <f>IF(+A79=0,"",A79)</f>
      </c>
      <c r="B112" s="108"/>
      <c r="C112" s="4">
        <f t="shared" si="9"/>
        <v>0</v>
      </c>
      <c r="D112" s="66"/>
      <c r="E112" s="66"/>
      <c r="F112" s="61">
        <f t="shared" si="4"/>
        <v>0</v>
      </c>
      <c r="G112" s="66"/>
      <c r="H112" s="61">
        <f t="shared" si="10"/>
        <v>0</v>
      </c>
      <c r="I112" s="66"/>
      <c r="K112" s="173">
        <f t="shared" si="5"/>
        <v>0</v>
      </c>
      <c r="L112" s="173">
        <f t="shared" si="6"/>
        <v>0</v>
      </c>
      <c r="N112" s="174">
        <f t="shared" si="7"/>
        <v>0</v>
      </c>
      <c r="O112" s="174">
        <f t="shared" si="8"/>
        <v>0</v>
      </c>
      <c r="P112" s="174">
        <f t="shared" si="8"/>
        <v>0</v>
      </c>
      <c r="Q112" s="174">
        <f t="shared" si="8"/>
        <v>0</v>
      </c>
      <c r="R112" s="174">
        <f t="shared" si="8"/>
        <v>0</v>
      </c>
      <c r="S112" s="174">
        <f t="shared" si="8"/>
        <v>0</v>
      </c>
      <c r="T112" s="174">
        <f t="shared" si="8"/>
        <v>0</v>
      </c>
      <c r="U112" s="174">
        <f t="shared" si="8"/>
        <v>0</v>
      </c>
      <c r="V112" s="174">
        <f t="shared" si="8"/>
        <v>0</v>
      </c>
      <c r="W112" s="174">
        <f t="shared" si="8"/>
        <v>0</v>
      </c>
      <c r="X112" s="174">
        <f t="shared" si="8"/>
        <v>0</v>
      </c>
    </row>
    <row r="113" spans="3:24" ht="12.75">
      <c r="C113" s="8"/>
      <c r="D113" s="8"/>
      <c r="E113" s="2"/>
      <c r="F113" s="2"/>
      <c r="H113" s="5" t="s">
        <v>45</v>
      </c>
      <c r="I113" s="8"/>
      <c r="J113" s="2"/>
      <c r="K113" s="2"/>
      <c r="N113">
        <f>MAX(N101:N112)</f>
        <v>4</v>
      </c>
      <c r="O113">
        <f aca="true" t="shared" si="11" ref="O113:T113">MAX(O101:O112)</f>
        <v>17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1"/>
        <v>0</v>
      </c>
      <c r="U113">
        <f>MAX(U101:U112)</f>
        <v>0</v>
      </c>
      <c r="V113">
        <f>MAX(V101:V112)</f>
        <v>0</v>
      </c>
      <c r="W113">
        <f>MAX(W101:W112)</f>
        <v>0</v>
      </c>
      <c r="X113">
        <f>MAX(X101:X112)</f>
        <v>0</v>
      </c>
    </row>
    <row r="114" spans="3:11" ht="12.75">
      <c r="C114" s="8"/>
      <c r="D114" s="8"/>
      <c r="E114" s="2"/>
      <c r="F114" s="2"/>
      <c r="H114" s="62">
        <f>SUM(N113:V113)</f>
        <v>21</v>
      </c>
      <c r="I114" s="8"/>
      <c r="J114" s="2"/>
      <c r="K114" s="2"/>
    </row>
    <row r="115" spans="3:11" ht="11.25" customHeight="1" thickBot="1">
      <c r="C115" s="8"/>
      <c r="D115" s="8"/>
      <c r="E115" s="2"/>
      <c r="F115" s="2"/>
      <c r="H115" s="8"/>
      <c r="I115" s="8"/>
      <c r="J115" s="2"/>
      <c r="K115" s="2"/>
    </row>
    <row r="116" spans="8:9" ht="17.25" customHeight="1" thickBot="1">
      <c r="H116" s="225"/>
      <c r="I116" s="226"/>
    </row>
    <row r="117" spans="4:9" ht="17.25" customHeight="1" thickBot="1">
      <c r="D117" s="196" t="s">
        <v>114</v>
      </c>
      <c r="E117" s="197" t="s">
        <v>115</v>
      </c>
      <c r="F117" s="75" t="s">
        <v>14</v>
      </c>
      <c r="H117" s="294" t="s">
        <v>116</v>
      </c>
      <c r="I117" s="295"/>
    </row>
    <row r="118" spans="1:9" ht="17.25" customHeight="1">
      <c r="A118" s="299" t="s">
        <v>112</v>
      </c>
      <c r="B118" s="300"/>
      <c r="C118" s="301"/>
      <c r="D118" s="170">
        <f>$H$114</f>
        <v>21</v>
      </c>
      <c r="E118" s="4">
        <f>+D118*D86</f>
        <v>2.1</v>
      </c>
      <c r="F118" s="198">
        <f>+E118+D118</f>
        <v>23.1</v>
      </c>
      <c r="G118" s="195" t="s">
        <v>44</v>
      </c>
      <c r="H118" s="292" t="s">
        <v>117</v>
      </c>
      <c r="I118" s="293"/>
    </row>
    <row r="119" spans="1:9" ht="17.25" customHeight="1" thickBot="1">
      <c r="A119" s="281" t="s">
        <v>106</v>
      </c>
      <c r="B119" s="282"/>
      <c r="C119" s="283"/>
      <c r="D119" s="199">
        <f>$H$96</f>
        <v>21</v>
      </c>
      <c r="E119" s="200">
        <f>+D86*D119</f>
        <v>2.1</v>
      </c>
      <c r="F119" s="201">
        <f>+E119+D119</f>
        <v>23.1</v>
      </c>
      <c r="G119" s="195" t="s">
        <v>44</v>
      </c>
      <c r="H119" s="254">
        <f>ROUNDUP(MAX(F118:F119),0)</f>
        <v>24</v>
      </c>
      <c r="I119" s="255"/>
    </row>
    <row r="120" ht="9.75" customHeight="1"/>
    <row r="121" spans="1:9" ht="24.75">
      <c r="A121" s="103" t="s">
        <v>25</v>
      </c>
      <c r="B121" s="5"/>
      <c r="C121" s="5"/>
      <c r="E121" s="5"/>
      <c r="F121" s="5"/>
      <c r="H121" s="5"/>
      <c r="I121" s="5"/>
    </row>
    <row r="123" ht="19.5">
      <c r="A123" s="59" t="s">
        <v>118</v>
      </c>
    </row>
    <row r="126" spans="1:5" ht="15">
      <c r="A126" s="101" t="s">
        <v>119</v>
      </c>
      <c r="D126" s="129">
        <v>41</v>
      </c>
      <c r="E126" t="s">
        <v>122</v>
      </c>
    </row>
    <row r="127" spans="1:5" ht="15">
      <c r="A127" s="101" t="s">
        <v>120</v>
      </c>
      <c r="D127" s="49">
        <v>4</v>
      </c>
      <c r="E127" t="s">
        <v>9</v>
      </c>
    </row>
    <row r="128" spans="1:5" ht="15">
      <c r="A128" s="101" t="s">
        <v>102</v>
      </c>
      <c r="D128" s="49">
        <v>2</v>
      </c>
      <c r="E128" t="s">
        <v>10</v>
      </c>
    </row>
    <row r="129" spans="1:5" ht="15">
      <c r="A129" s="101" t="s">
        <v>103</v>
      </c>
      <c r="D129" s="129">
        <f>249/12</f>
        <v>20.75</v>
      </c>
      <c r="E129" t="s">
        <v>44</v>
      </c>
    </row>
    <row r="130" spans="1:5" ht="15">
      <c r="A130" s="101" t="s">
        <v>121</v>
      </c>
      <c r="D130" s="49">
        <v>365</v>
      </c>
      <c r="E130" t="s">
        <v>44</v>
      </c>
    </row>
    <row r="133" ht="19.5">
      <c r="A133" s="59" t="s">
        <v>26</v>
      </c>
    </row>
    <row r="135" spans="1:5" ht="12.75">
      <c r="A135" s="1" t="s">
        <v>123</v>
      </c>
      <c r="D135" s="41">
        <f>+D126*D127*D128</f>
        <v>328</v>
      </c>
      <c r="E135" t="s">
        <v>0</v>
      </c>
    </row>
    <row r="136" ht="12.75">
      <c r="A136" s="243" t="s">
        <v>202</v>
      </c>
    </row>
    <row r="137" spans="1:5" ht="12.75">
      <c r="A137" s="244" t="s">
        <v>203</v>
      </c>
      <c r="D137" s="41">
        <f>+D135*(I11-1)</f>
        <v>124.63999999999996</v>
      </c>
      <c r="E137" t="s">
        <v>127</v>
      </c>
    </row>
    <row r="138" spans="1:9" ht="12.75">
      <c r="A138" s="244" t="s">
        <v>204</v>
      </c>
      <c r="D138" s="130">
        <v>333</v>
      </c>
      <c r="E138" t="s">
        <v>127</v>
      </c>
      <c r="F138" s="259" t="s">
        <v>60</v>
      </c>
      <c r="G138" s="260"/>
      <c r="H138" s="260"/>
      <c r="I138" s="261"/>
    </row>
    <row r="139" spans="6:9" ht="12.75">
      <c r="F139" s="136">
        <f>ROUND(+A18/D126/D127/D128,0)</f>
        <v>190</v>
      </c>
      <c r="G139" s="2" t="s">
        <v>44</v>
      </c>
      <c r="H139" s="50">
        <f>+F139/D129</f>
        <v>9.156626506024097</v>
      </c>
      <c r="I139" s="2" t="s">
        <v>11</v>
      </c>
    </row>
    <row r="141" spans="1:5" ht="12.75">
      <c r="A141" s="1" t="s">
        <v>205</v>
      </c>
      <c r="D141" s="130">
        <v>260</v>
      </c>
      <c r="E141" t="s">
        <v>0</v>
      </c>
    </row>
    <row r="143" spans="1:5" ht="12.75">
      <c r="A143" s="1" t="s">
        <v>124</v>
      </c>
      <c r="D143" s="41">
        <f>+C18-F139*D141-E237</f>
        <v>17198.839285714286</v>
      </c>
      <c r="E143" t="s">
        <v>0</v>
      </c>
    </row>
    <row r="144" spans="1:5" ht="12.75">
      <c r="A144" s="227" t="s">
        <v>125</v>
      </c>
      <c r="B144" s="2"/>
      <c r="C144" s="2"/>
      <c r="D144" s="130">
        <v>50</v>
      </c>
      <c r="E144" s="80" t="s">
        <v>0</v>
      </c>
    </row>
    <row r="145" spans="1:9" ht="12.75">
      <c r="A145" s="228" t="s">
        <v>126</v>
      </c>
      <c r="B145" s="132"/>
      <c r="C145" s="133"/>
      <c r="D145" s="134">
        <f>+D143-D144</f>
        <v>17148.839285714286</v>
      </c>
      <c r="E145" s="10" t="s">
        <v>0</v>
      </c>
      <c r="F145" s="259" t="s">
        <v>128</v>
      </c>
      <c r="G145" s="260"/>
      <c r="H145" s="260"/>
      <c r="I145" s="261"/>
    </row>
    <row r="146" spans="1:9" ht="12.75">
      <c r="A146" s="102" t="s">
        <v>212</v>
      </c>
      <c r="B146" s="10"/>
      <c r="C146" s="10"/>
      <c r="D146" s="135">
        <f>333/2</f>
        <v>166.5</v>
      </c>
      <c r="E146" s="10" t="s">
        <v>12</v>
      </c>
      <c r="F146" s="136">
        <f>ROUND(D145/D146/D128,0)</f>
        <v>51</v>
      </c>
      <c r="G146" s="2" t="s">
        <v>44</v>
      </c>
      <c r="H146" s="50">
        <f>+F146/D129</f>
        <v>2.4578313253012047</v>
      </c>
      <c r="I146" s="2" t="s">
        <v>11</v>
      </c>
    </row>
    <row r="147" spans="1:9" ht="12.75">
      <c r="A147" s="102"/>
      <c r="B147" s="10"/>
      <c r="C147" s="10"/>
      <c r="D147" s="236"/>
      <c r="E147" s="10"/>
      <c r="F147" s="237"/>
      <c r="G147" s="2"/>
      <c r="H147" s="238"/>
      <c r="I147" s="2"/>
    </row>
    <row r="150" ht="12.75">
      <c r="H150" s="37"/>
    </row>
    <row r="151" ht="19.5">
      <c r="A151" s="59" t="s">
        <v>36</v>
      </c>
    </row>
    <row r="153" ht="12.75">
      <c r="A153" s="1" t="s">
        <v>129</v>
      </c>
    </row>
    <row r="154" ht="12.75">
      <c r="A154" s="1" t="s">
        <v>130</v>
      </c>
    </row>
    <row r="155" ht="12.75">
      <c r="A155" s="1" t="str">
        <f>CONCATENATE("En supposant que tous les chantiers ont la même configuration, le temps de production de ",F139," jours divisé par le temps de déblayage final de ",F146," jours vous")</f>
        <v>En supposant que tous les chantiers ont la même configuration, le temps de production de 190 jours divisé par le temps de déblayage final de 51 jours vous</v>
      </c>
    </row>
    <row r="156" spans="1:9" ht="12.75">
      <c r="A156" s="1" t="s">
        <v>131</v>
      </c>
      <c r="H156" s="60">
        <f>ROUND(+H139/H146,2)</f>
        <v>3.73</v>
      </c>
      <c r="I156" t="s">
        <v>195</v>
      </c>
    </row>
    <row r="157" ht="12.75">
      <c r="A157" s="1" t="s">
        <v>196</v>
      </c>
    </row>
    <row r="158" ht="12.75">
      <c r="A158" s="1" t="str">
        <f>CONCATENATE("Ce qui signifie que la production sera optimale si ",H156," chantiers sont actifs pour chaque chantier en phase de déblayage final.")</f>
        <v>Ce qui signifie que la production sera optimale si 3.73 chantiers sont actifs pour chaque chantier en phase de déblayage final.</v>
      </c>
    </row>
    <row r="159" spans="1:7" ht="30" customHeight="1">
      <c r="A159" s="53"/>
      <c r="B159" s="53"/>
      <c r="C159" s="53"/>
      <c r="D159" s="53"/>
      <c r="F159" s="53"/>
      <c r="G159" s="53"/>
    </row>
    <row r="160" spans="1:9" ht="30" customHeight="1">
      <c r="A160" s="53"/>
      <c r="B160" s="53"/>
      <c r="C160" s="53"/>
      <c r="D160" s="53"/>
      <c r="E160" s="230" t="s">
        <v>132</v>
      </c>
      <c r="F160" s="53"/>
      <c r="G160" s="53"/>
      <c r="H160" s="262" t="s">
        <v>133</v>
      </c>
      <c r="I160" s="263"/>
    </row>
    <row r="161" spans="1:9" ht="15">
      <c r="A161" s="53" t="s">
        <v>134</v>
      </c>
      <c r="B161" s="53"/>
      <c r="C161" s="53"/>
      <c r="D161" s="155">
        <v>2</v>
      </c>
      <c r="E161" s="54">
        <f>ROUND(+D161*D141,0)</f>
        <v>520</v>
      </c>
      <c r="F161" s="53"/>
      <c r="G161" s="53"/>
      <c r="H161" s="253">
        <f>ROUND(E161*$D$129*12/D130,0)</f>
        <v>355</v>
      </c>
      <c r="I161" s="253"/>
    </row>
    <row r="162" spans="1:9" ht="15.75" thickBot="1">
      <c r="A162" s="53" t="s">
        <v>135</v>
      </c>
      <c r="B162" s="53"/>
      <c r="C162" s="53"/>
      <c r="D162" s="55">
        <f>+D161/H156</f>
        <v>0.5361930294906166</v>
      </c>
      <c r="E162" s="156">
        <f>ROUND(+D146*D128*D162,0)</f>
        <v>179</v>
      </c>
      <c r="F162" s="53"/>
      <c r="G162" s="53"/>
      <c r="H162" s="250">
        <f>ROUND(E162*$D$129*12/D130,0)</f>
        <v>122</v>
      </c>
      <c r="I162" s="250"/>
    </row>
    <row r="163" spans="1:9" ht="16.5" thickBot="1">
      <c r="A163" s="53"/>
      <c r="B163" s="53"/>
      <c r="C163" s="53"/>
      <c r="D163" s="53"/>
      <c r="E163" s="157">
        <f>SUM(E161:E162)</f>
        <v>699</v>
      </c>
      <c r="F163" s="53"/>
      <c r="G163" s="53"/>
      <c r="H163" s="270">
        <f>SUM(H161:H162)</f>
        <v>477</v>
      </c>
      <c r="I163" s="271"/>
    </row>
    <row r="164" spans="2:9" ht="15.75">
      <c r="B164" s="53"/>
      <c r="C164" s="53"/>
      <c r="D164" s="53"/>
      <c r="E164" s="53"/>
      <c r="F164" s="53"/>
      <c r="G164" s="53"/>
      <c r="H164" s="53"/>
      <c r="I164" s="158"/>
    </row>
    <row r="165" ht="12.75">
      <c r="A165" s="42" t="s">
        <v>206</v>
      </c>
    </row>
    <row r="167" ht="19.5">
      <c r="A167" s="59" t="s">
        <v>136</v>
      </c>
    </row>
    <row r="169" ht="12.75">
      <c r="A169" s="1" t="s">
        <v>137</v>
      </c>
    </row>
    <row r="170" ht="12.75">
      <c r="A170" s="1" t="s">
        <v>138</v>
      </c>
    </row>
    <row r="171" ht="12.75">
      <c r="A171" s="1" t="str">
        <f>CONCATENATE("En supposant que tous les chantiers ont la même configuration, le temps de production de ",F139," jours divisé par le temps de développement de ",H119," jours ")</f>
        <v>En supposant que tous les chantiers ont la même configuration, le temps de production de 190 jours divisé par le temps de développement de 24 jours </v>
      </c>
    </row>
    <row r="172" spans="1:9" ht="12.75">
      <c r="A172" s="1" t="s">
        <v>139</v>
      </c>
      <c r="H172" s="60">
        <f>ROUND((F139)/H119,2)</f>
        <v>7.92</v>
      </c>
      <c r="I172" t="s">
        <v>140</v>
      </c>
    </row>
    <row r="173" ht="12.75">
      <c r="A173" s="1" t="str">
        <f>CONCATENATE("Ce qui signifie que la production sera optimale si ",H172," chantiers sont actifs pour chaque chantier en phase de développement.")</f>
        <v>Ce qui signifie que la production sera optimale si 7.92 chantiers sont actifs pour chaque chantier en phase de développement.</v>
      </c>
    </row>
    <row r="174" ht="12.75">
      <c r="A174" s="1"/>
    </row>
    <row r="175" spans="1:9" ht="22.5" customHeight="1">
      <c r="A175" s="53"/>
      <c r="B175" s="53"/>
      <c r="C175" s="53"/>
      <c r="D175" s="53"/>
      <c r="E175" s="272" t="s">
        <v>141</v>
      </c>
      <c r="F175" s="53"/>
      <c r="G175" s="53"/>
      <c r="H175" s="274" t="s">
        <v>142</v>
      </c>
      <c r="I175" s="275"/>
    </row>
    <row r="176" spans="1:9" ht="22.5" customHeight="1">
      <c r="A176" s="53" t="s">
        <v>134</v>
      </c>
      <c r="B176" s="53"/>
      <c r="C176" s="53"/>
      <c r="D176" s="54">
        <f>+D161</f>
        <v>2</v>
      </c>
      <c r="E176" s="273"/>
      <c r="F176" s="53"/>
      <c r="G176" s="53"/>
      <c r="H176" s="276"/>
      <c r="I176" s="277"/>
    </row>
    <row r="177" spans="1:9" ht="15.75">
      <c r="A177" s="82" t="s">
        <v>143</v>
      </c>
      <c r="B177" s="53"/>
      <c r="C177" s="53"/>
      <c r="D177" s="84">
        <f>+D176/H172</f>
        <v>0.25252525252525254</v>
      </c>
      <c r="E177" s="83">
        <f>ROUND((SUMPRODUCT(B61:B63,C61:C63)+SUMPRODUCT(B68:B79,C68:C79))*D177/H119,0)</f>
        <v>62</v>
      </c>
      <c r="F177" s="53"/>
      <c r="G177" s="53"/>
      <c r="H177" s="278">
        <f>ROUND(E177*$D$129*12/D130,0)</f>
        <v>42</v>
      </c>
      <c r="I177" s="278"/>
    </row>
    <row r="178" spans="1:7" ht="15">
      <c r="A178" s="53"/>
      <c r="B178" s="53"/>
      <c r="C178" s="53"/>
      <c r="D178" s="53"/>
      <c r="F178" s="53"/>
      <c r="G178" s="53"/>
    </row>
    <row r="179" ht="12.75">
      <c r="A179" s="42" t="s">
        <v>144</v>
      </c>
    </row>
    <row r="182" spans="1:9" ht="24.75">
      <c r="A182" s="103" t="s">
        <v>30</v>
      </c>
      <c r="B182" s="5"/>
      <c r="C182" s="5"/>
      <c r="E182" s="5"/>
      <c r="F182" s="5"/>
      <c r="H182" s="5"/>
      <c r="I182" s="5"/>
    </row>
    <row r="184" ht="19.5">
      <c r="A184" s="59" t="s">
        <v>145</v>
      </c>
    </row>
    <row r="185" ht="12.75">
      <c r="E185" s="5" t="s">
        <v>95</v>
      </c>
    </row>
    <row r="186" spans="1:5" ht="12.75">
      <c r="A186" s="10" t="s">
        <v>146</v>
      </c>
      <c r="E186" s="165">
        <f>+F250</f>
        <v>66548.83928571429</v>
      </c>
    </row>
    <row r="188" spans="2:5" ht="12.75">
      <c r="B188" s="5" t="s">
        <v>91</v>
      </c>
      <c r="C188" s="5" t="s">
        <v>76</v>
      </c>
      <c r="D188" s="5" t="s">
        <v>6</v>
      </c>
      <c r="E188" s="5" t="s">
        <v>95</v>
      </c>
    </row>
    <row r="189" spans="1:5" ht="12.75">
      <c r="A189" s="102" t="s">
        <v>59</v>
      </c>
      <c r="B189" s="113">
        <v>92.5</v>
      </c>
      <c r="C189" s="113">
        <v>3.1</v>
      </c>
      <c r="D189" s="113">
        <v>2.7</v>
      </c>
      <c r="E189" s="165">
        <f>B189*C189*D189*$H$11</f>
        <v>2903.34375</v>
      </c>
    </row>
    <row r="190" spans="1:5" ht="12.75">
      <c r="A190" s="102" t="s">
        <v>31</v>
      </c>
      <c r="B190" s="113">
        <v>6</v>
      </c>
      <c r="C190" s="113">
        <v>3.1</v>
      </c>
      <c r="D190" s="113">
        <v>2.7</v>
      </c>
      <c r="E190" s="165">
        <f>B190*C190*D190*$H$11</f>
        <v>188.32500000000002</v>
      </c>
    </row>
    <row r="191" spans="1:5" ht="12.75">
      <c r="A191" s="169" t="s">
        <v>32</v>
      </c>
      <c r="B191" s="113"/>
      <c r="C191" s="113"/>
      <c r="D191" s="113"/>
      <c r="E191" s="165">
        <f>B191*C191*D191*$H$11</f>
        <v>0</v>
      </c>
    </row>
    <row r="192" ht="13.5" thickBot="1"/>
    <row r="193" spans="4:9" ht="13.5" thickBot="1">
      <c r="D193" s="173" t="s">
        <v>147</v>
      </c>
      <c r="E193" s="166">
        <f>SUM(E186:E190)</f>
        <v>69640.50803571429</v>
      </c>
      <c r="G193" s="168" t="s">
        <v>148</v>
      </c>
      <c r="H193" s="167">
        <f>+E193/H11</f>
        <v>18570.802142857145</v>
      </c>
      <c r="I193" t="s">
        <v>197</v>
      </c>
    </row>
    <row r="195" ht="19.5">
      <c r="A195" s="59" t="s">
        <v>149</v>
      </c>
    </row>
    <row r="196" spans="4:9" ht="12.75">
      <c r="D196" s="266" t="s">
        <v>152</v>
      </c>
      <c r="E196" s="266"/>
      <c r="F196" s="266" t="s">
        <v>153</v>
      </c>
      <c r="G196" s="266"/>
      <c r="H196" s="269" t="s">
        <v>154</v>
      </c>
      <c r="I196" s="248"/>
    </row>
    <row r="197" spans="1:9" ht="12.75">
      <c r="A197" s="10" t="s">
        <v>150</v>
      </c>
      <c r="D197" s="267">
        <v>1</v>
      </c>
      <c r="E197" s="267"/>
      <c r="F197" s="267">
        <v>5</v>
      </c>
      <c r="G197" s="267"/>
      <c r="H197" s="249">
        <f>+F197*D197</f>
        <v>5</v>
      </c>
      <c r="I197" s="248"/>
    </row>
    <row r="199" spans="1:7" ht="12.75">
      <c r="A199" s="10" t="s">
        <v>151</v>
      </c>
      <c r="C199" t="s">
        <v>155</v>
      </c>
      <c r="F199" s="113">
        <v>70</v>
      </c>
      <c r="G199" t="s">
        <v>47</v>
      </c>
    </row>
    <row r="200" spans="1:7" ht="12.75">
      <c r="A200" s="10"/>
      <c r="C200" t="s">
        <v>156</v>
      </c>
      <c r="F200" s="113">
        <v>2.2</v>
      </c>
      <c r="G200" t="s">
        <v>48</v>
      </c>
    </row>
    <row r="201" spans="3:7" ht="12.75">
      <c r="C201" t="s">
        <v>33</v>
      </c>
      <c r="F201" s="113">
        <v>8</v>
      </c>
      <c r="G201" t="s">
        <v>157</v>
      </c>
    </row>
    <row r="202" spans="3:9" ht="12.75">
      <c r="C202" t="s">
        <v>46</v>
      </c>
      <c r="F202" s="41">
        <f>+H193/F199*F200/F201</f>
        <v>72.95672270408164</v>
      </c>
      <c r="G202" t="s">
        <v>10</v>
      </c>
      <c r="H202" s="269" t="s">
        <v>154</v>
      </c>
      <c r="I202" s="248"/>
    </row>
    <row r="203" spans="3:9" ht="12.75">
      <c r="C203" t="s">
        <v>102</v>
      </c>
      <c r="F203" s="130">
        <v>3</v>
      </c>
      <c r="G203" t="s">
        <v>158</v>
      </c>
      <c r="H203" s="279">
        <f>+F202/F203</f>
        <v>24.318907568027214</v>
      </c>
      <c r="I203" s="280"/>
    </row>
    <row r="205" spans="1:4" ht="15">
      <c r="A205" s="52" t="s">
        <v>159</v>
      </c>
      <c r="C205" s="171">
        <f>+H197+H203</f>
        <v>29.318907568027214</v>
      </c>
      <c r="D205" s="10" t="s">
        <v>44</v>
      </c>
    </row>
    <row r="206" ht="12.75">
      <c r="C206" s="5" t="s">
        <v>34</v>
      </c>
    </row>
    <row r="207" spans="3:5" ht="12.75">
      <c r="C207" s="172">
        <f>+C205/D85</f>
        <v>1.4095628638474622</v>
      </c>
      <c r="D207" s="10" t="s">
        <v>11</v>
      </c>
      <c r="E207" t="s">
        <v>160</v>
      </c>
    </row>
    <row r="209" ht="24.75">
      <c r="A209" s="103" t="s">
        <v>161</v>
      </c>
    </row>
    <row r="211" ht="15.75">
      <c r="D211" s="87"/>
    </row>
    <row r="212" ht="18">
      <c r="A212" s="232" t="s">
        <v>17</v>
      </c>
    </row>
    <row r="213" ht="12" customHeight="1" thickBot="1">
      <c r="A213" s="56"/>
    </row>
    <row r="214" spans="1:9" ht="18">
      <c r="A214" s="52"/>
      <c r="C214" s="264" t="s">
        <v>38</v>
      </c>
      <c r="D214" s="265"/>
      <c r="E214" s="264" t="s">
        <v>96</v>
      </c>
      <c r="F214" s="268"/>
      <c r="G214" s="265"/>
      <c r="H214" s="264" t="s">
        <v>14</v>
      </c>
      <c r="I214" s="265"/>
    </row>
    <row r="215" spans="1:9" ht="15">
      <c r="A215" s="52"/>
      <c r="C215" s="139" t="s">
        <v>50</v>
      </c>
      <c r="D215" s="140" t="s">
        <v>95</v>
      </c>
      <c r="E215" s="139" t="s">
        <v>50</v>
      </c>
      <c r="F215" s="48" t="s">
        <v>95</v>
      </c>
      <c r="G215" s="140" t="s">
        <v>73</v>
      </c>
      <c r="H215" s="139" t="s">
        <v>50</v>
      </c>
      <c r="I215" s="140" t="s">
        <v>95</v>
      </c>
    </row>
    <row r="216" spans="1:9" ht="15">
      <c r="A216" s="81" t="s">
        <v>59</v>
      </c>
      <c r="C216" s="141">
        <f>+F61+F68</f>
        <v>0</v>
      </c>
      <c r="D216" s="92">
        <f>ROUND(F61*G61+F68*G68,0)</f>
        <v>0</v>
      </c>
      <c r="E216" s="142">
        <f>+B61+B68</f>
        <v>185</v>
      </c>
      <c r="F216" s="64">
        <f>ROUND(+B61*C61+B68*C68,0)</f>
        <v>5421</v>
      </c>
      <c r="G216" s="147">
        <f>IF(F216=0,0,ROUND((B61*C61*E61+B68*C68*E68)/(B61*C61+B68*C68),2))</f>
        <v>4.29</v>
      </c>
      <c r="H216" s="142">
        <f aca="true" t="shared" si="12" ref="H216:I220">+C216+E216</f>
        <v>185</v>
      </c>
      <c r="I216" s="152">
        <f t="shared" si="12"/>
        <v>5421</v>
      </c>
    </row>
    <row r="217" spans="1:9" ht="15">
      <c r="A217" s="81" t="s">
        <v>56</v>
      </c>
      <c r="C217" s="142">
        <f>+F69</f>
        <v>0</v>
      </c>
      <c r="D217" s="100">
        <f>ROUND(F69*G69,0)</f>
        <v>0</v>
      </c>
      <c r="E217" s="142">
        <f>+B69</f>
        <v>0</v>
      </c>
      <c r="F217" s="110">
        <f>ROUND(+C69*B69,0)</f>
        <v>0</v>
      </c>
      <c r="G217" s="148">
        <f>+E69</f>
        <v>0</v>
      </c>
      <c r="H217" s="142">
        <f t="shared" si="12"/>
        <v>0</v>
      </c>
      <c r="I217" s="152">
        <f t="shared" si="12"/>
        <v>0</v>
      </c>
    </row>
    <row r="218" spans="1:9" ht="15">
      <c r="A218" s="81" t="s">
        <v>7</v>
      </c>
      <c r="C218" s="142">
        <f>+F70+F71</f>
        <v>0</v>
      </c>
      <c r="D218" s="193">
        <f>ROUND(SUMPRODUCT(F70:F71,G70:G71),0)</f>
        <v>0</v>
      </c>
      <c r="E218" s="142">
        <f>+B70+B71</f>
        <v>0</v>
      </c>
      <c r="F218" s="110">
        <f>ROUND(SUMPRODUCT(B70:B71,C70:C71),0)</f>
        <v>0</v>
      </c>
      <c r="G218" s="149">
        <f>IF(F218=0,0,ROUND(SUMPRODUCT(B70:B71,C70:C71,E70:E71)/F218,2))</f>
        <v>0</v>
      </c>
      <c r="H218" s="142">
        <f t="shared" si="12"/>
        <v>0</v>
      </c>
      <c r="I218" s="152">
        <f t="shared" si="12"/>
        <v>0</v>
      </c>
    </row>
    <row r="219" spans="1:9" ht="15">
      <c r="A219" s="81" t="s">
        <v>162</v>
      </c>
      <c r="C219" s="142">
        <f>SUM(F74:F77)</f>
        <v>0</v>
      </c>
      <c r="D219" s="100">
        <f>ROUND(SUMPRODUCT(F74:F77,G74:G77),0)</f>
        <v>0</v>
      </c>
      <c r="E219" s="142">
        <f>SUM(B74:B77)</f>
        <v>7.5</v>
      </c>
      <c r="F219" s="110">
        <f>ROUND(SUMPRODUCT(B74:B77,C74:C77),0)</f>
        <v>220</v>
      </c>
      <c r="G219" s="149">
        <f>IF(F219=0,0,ROUND(SUMPRODUCT(B74:B77,C74:C77,E74:E77)/F219,2))</f>
        <v>4.29</v>
      </c>
      <c r="H219" s="142">
        <f t="shared" si="12"/>
        <v>7.5</v>
      </c>
      <c r="I219" s="152">
        <f t="shared" si="12"/>
        <v>220</v>
      </c>
    </row>
    <row r="220" spans="1:9" ht="15">
      <c r="A220" s="81" t="s">
        <v>28</v>
      </c>
      <c r="C220" s="143">
        <f>+F62+F63+F72+F73+F78+F79</f>
        <v>0</v>
      </c>
      <c r="D220" s="144">
        <f>ROUND(F62*G62+F63*G63+F72*G72+F73*G73+F78*G78+F79*G79,0)</f>
        <v>0</v>
      </c>
      <c r="E220" s="143">
        <f>+B62+B63+B72+B73+B78+B79</f>
        <v>7.5</v>
      </c>
      <c r="F220" s="111">
        <f>ROUND(B62*C62+B63*C63+B72*C72+B73*C73+B78*C78+B79*C79,0)</f>
        <v>220</v>
      </c>
      <c r="G220" s="150">
        <f>IF(F220=0,0,ROUND((B62*C62*E62+B63*C63*E63+B72*C72*E72+B73*C73*E73+B78*C78*E78+B79*C79*E79)/(B62*C62+B63*C63+B72*C72+B73*C73+B78*C78+B79*C79),2))</f>
        <v>4.29</v>
      </c>
      <c r="H220" s="143">
        <f t="shared" si="12"/>
        <v>7.5</v>
      </c>
      <c r="I220" s="153">
        <f t="shared" si="12"/>
        <v>220</v>
      </c>
    </row>
    <row r="221" spans="3:9" ht="13.5" thickBot="1">
      <c r="C221" s="145">
        <f>SUM(C216:C220)</f>
        <v>0</v>
      </c>
      <c r="D221" s="146">
        <f>SUM(D216:D220)</f>
        <v>0</v>
      </c>
      <c r="E221" s="145">
        <f>SUM(E216:E220)</f>
        <v>200</v>
      </c>
      <c r="F221" s="151">
        <f>SUM(F216:F220)</f>
        <v>5861</v>
      </c>
      <c r="G221" s="146">
        <f>ROUND((G216*F216+G217*F217+G218*F218+G219*F219+G220*F220)/F221,2)</f>
        <v>4.29</v>
      </c>
      <c r="H221" s="154">
        <f>SUM(H216:H220)</f>
        <v>200</v>
      </c>
      <c r="I221" s="146">
        <f>SUM(I216:I220)</f>
        <v>5861</v>
      </c>
    </row>
    <row r="222" ht="12.75">
      <c r="E222" s="37"/>
    </row>
    <row r="223" spans="5:8" ht="15.75">
      <c r="E223" s="37"/>
      <c r="G223" s="131">
        <f>ROUND(F221*G221*G247/32.1034,0)</f>
        <v>752</v>
      </c>
      <c r="H223" s="89" t="s">
        <v>163</v>
      </c>
    </row>
    <row r="224" spans="5:8" ht="15.75">
      <c r="E224" s="37"/>
      <c r="H224" s="88"/>
    </row>
    <row r="225" spans="5:8" ht="15.75">
      <c r="E225" s="37"/>
      <c r="H225" s="88"/>
    </row>
    <row r="226" ht="16.5" thickBot="1">
      <c r="A226" s="82" t="s">
        <v>164</v>
      </c>
    </row>
    <row r="227" spans="3:7" ht="15.75">
      <c r="C227" s="251" t="s">
        <v>61</v>
      </c>
      <c r="D227" s="252"/>
      <c r="E227" s="251" t="s">
        <v>37</v>
      </c>
      <c r="F227" s="247"/>
      <c r="G227" s="202" t="s">
        <v>38</v>
      </c>
    </row>
    <row r="228" spans="3:7" ht="12.75">
      <c r="C228" s="139" t="s">
        <v>95</v>
      </c>
      <c r="D228" s="140" t="s">
        <v>73</v>
      </c>
      <c r="E228" s="139" t="s">
        <v>95</v>
      </c>
      <c r="F228" s="140" t="s">
        <v>73</v>
      </c>
      <c r="G228" s="177" t="s">
        <v>95</v>
      </c>
    </row>
    <row r="229" spans="1:7" ht="15">
      <c r="A229" s="81" t="s">
        <v>39</v>
      </c>
      <c r="C229" s="178">
        <f aca="true" t="shared" si="13" ref="C229:C236">+B70*C70</f>
        <v>0</v>
      </c>
      <c r="D229" s="179">
        <f aca="true" t="shared" si="14" ref="D229:D236">+E70</f>
        <v>0</v>
      </c>
      <c r="E229" s="178">
        <f aca="true" t="shared" si="15" ref="E229:E236">+C229/(1+D70)</f>
        <v>0</v>
      </c>
      <c r="F229" s="180">
        <f aca="true" t="shared" si="16" ref="F229:F236">IF(E229=0,0,D229*C229/E229)</f>
        <v>0</v>
      </c>
      <c r="G229" s="181">
        <f aca="true" t="shared" si="17" ref="G229:G236">+C229-E229</f>
        <v>0</v>
      </c>
    </row>
    <row r="230" spans="1:7" ht="15">
      <c r="A230" s="81" t="s">
        <v>41</v>
      </c>
      <c r="C230" s="178">
        <f t="shared" si="13"/>
        <v>0</v>
      </c>
      <c r="D230" s="179">
        <f t="shared" si="14"/>
        <v>0</v>
      </c>
      <c r="E230" s="178">
        <f t="shared" si="15"/>
        <v>0</v>
      </c>
      <c r="F230" s="180">
        <f t="shared" si="16"/>
        <v>0</v>
      </c>
      <c r="G230" s="181">
        <f t="shared" si="17"/>
        <v>0</v>
      </c>
    </row>
    <row r="231" spans="1:7" ht="15">
      <c r="A231" s="81" t="s">
        <v>27</v>
      </c>
      <c r="C231" s="178">
        <f t="shared" si="13"/>
        <v>0</v>
      </c>
      <c r="D231" s="179">
        <f t="shared" si="14"/>
        <v>0</v>
      </c>
      <c r="E231" s="178">
        <f t="shared" si="15"/>
        <v>0</v>
      </c>
      <c r="F231" s="180">
        <f t="shared" si="16"/>
        <v>0</v>
      </c>
      <c r="G231" s="181">
        <f t="shared" si="17"/>
        <v>0</v>
      </c>
    </row>
    <row r="232" spans="1:7" ht="15">
      <c r="A232" s="81" t="s">
        <v>27</v>
      </c>
      <c r="C232" s="178">
        <f t="shared" si="13"/>
        <v>0</v>
      </c>
      <c r="D232" s="179">
        <f t="shared" si="14"/>
        <v>0</v>
      </c>
      <c r="E232" s="178">
        <f t="shared" si="15"/>
        <v>0</v>
      </c>
      <c r="F232" s="180">
        <f t="shared" si="16"/>
        <v>0</v>
      </c>
      <c r="G232" s="181">
        <f t="shared" si="17"/>
        <v>0</v>
      </c>
    </row>
    <row r="233" spans="1:7" ht="15">
      <c r="A233" s="81" t="s">
        <v>97</v>
      </c>
      <c r="C233" s="178">
        <f t="shared" si="13"/>
        <v>219.75</v>
      </c>
      <c r="D233" s="179">
        <f t="shared" si="14"/>
        <v>4.29</v>
      </c>
      <c r="E233" s="178">
        <f t="shared" si="15"/>
        <v>209.28571428571428</v>
      </c>
      <c r="F233" s="180">
        <f t="shared" si="16"/>
        <v>4.5045</v>
      </c>
      <c r="G233" s="181">
        <f t="shared" si="17"/>
        <v>10.464285714285722</v>
      </c>
    </row>
    <row r="234" spans="1:7" ht="15">
      <c r="A234" s="81" t="s">
        <v>98</v>
      </c>
      <c r="C234" s="178">
        <f t="shared" si="13"/>
        <v>0</v>
      </c>
      <c r="D234" s="179">
        <f t="shared" si="14"/>
        <v>0</v>
      </c>
      <c r="E234" s="178">
        <f t="shared" si="15"/>
        <v>0</v>
      </c>
      <c r="F234" s="180">
        <f t="shared" si="16"/>
        <v>0</v>
      </c>
      <c r="G234" s="181">
        <f t="shared" si="17"/>
        <v>0</v>
      </c>
    </row>
    <row r="235" spans="1:7" ht="15">
      <c r="A235" s="81" t="s">
        <v>99</v>
      </c>
      <c r="C235" s="178">
        <f t="shared" si="13"/>
        <v>0</v>
      </c>
      <c r="D235" s="179">
        <f t="shared" si="14"/>
        <v>0</v>
      </c>
      <c r="E235" s="178">
        <f t="shared" si="15"/>
        <v>0</v>
      </c>
      <c r="F235" s="180">
        <f t="shared" si="16"/>
        <v>0</v>
      </c>
      <c r="G235" s="181">
        <f t="shared" si="17"/>
        <v>0</v>
      </c>
    </row>
    <row r="236" spans="1:7" ht="15">
      <c r="A236" s="81" t="s">
        <v>100</v>
      </c>
      <c r="C236" s="178">
        <f t="shared" si="13"/>
        <v>0</v>
      </c>
      <c r="D236" s="179">
        <f t="shared" si="14"/>
        <v>0</v>
      </c>
      <c r="E236" s="178">
        <f t="shared" si="15"/>
        <v>0</v>
      </c>
      <c r="F236" s="180">
        <f t="shared" si="16"/>
        <v>0</v>
      </c>
      <c r="G236" s="181">
        <f t="shared" si="17"/>
        <v>0</v>
      </c>
    </row>
    <row r="237" spans="3:7" ht="13.5" thickBot="1">
      <c r="C237" s="182">
        <f>SUM(C229:C236)</f>
        <v>219.75</v>
      </c>
      <c r="D237" s="183">
        <f>IF(C237=0,0,SUMPRODUCT(C229:C236,D229:D236)/C237)</f>
        <v>4.29</v>
      </c>
      <c r="E237" s="184">
        <f>SUM(E229:E236)</f>
        <v>209.28571428571428</v>
      </c>
      <c r="F237" s="185">
        <f>IF(E237=0,0,SUMPRODUCT(E229:E236,F229:F236)/E237)</f>
        <v>4.5045</v>
      </c>
      <c r="G237" s="186">
        <f>SUM(G229:G236)</f>
        <v>10.464285714285722</v>
      </c>
    </row>
    <row r="238" spans="5:7" ht="15.75">
      <c r="E238" s="37"/>
      <c r="G238" s="88"/>
    </row>
    <row r="239" spans="5:7" ht="15.75">
      <c r="E239" s="37"/>
      <c r="F239" s="131">
        <f>ROUND(E237*F237*$G$247/32.1034,0)</f>
        <v>28</v>
      </c>
      <c r="G239" s="89" t="s">
        <v>163</v>
      </c>
    </row>
    <row r="240" spans="5:7" ht="15.75">
      <c r="E240" s="37"/>
      <c r="G240" s="88"/>
    </row>
    <row r="241" spans="5:7" ht="15.75">
      <c r="E241" s="37"/>
      <c r="G241" s="88"/>
    </row>
    <row r="242" ht="18">
      <c r="A242" s="232" t="s">
        <v>16</v>
      </c>
    </row>
    <row r="243" spans="1:8" ht="15.75">
      <c r="A243" s="53"/>
      <c r="B243" s="53"/>
      <c r="C243" s="53"/>
      <c r="D243" s="53"/>
      <c r="F243" s="88" t="s">
        <v>95</v>
      </c>
      <c r="G243" s="88" t="s">
        <v>73</v>
      </c>
      <c r="H243" s="88" t="s">
        <v>171</v>
      </c>
    </row>
    <row r="244" spans="1:8" ht="15.75">
      <c r="A244" s="82" t="s">
        <v>91</v>
      </c>
      <c r="B244" s="137">
        <f>+A11</f>
        <v>92.5</v>
      </c>
      <c r="C244" s="53" t="s">
        <v>54</v>
      </c>
      <c r="D244" s="87" t="s">
        <v>168</v>
      </c>
      <c r="F244" s="85">
        <f>+A18-E237</f>
        <v>62228.21428571428</v>
      </c>
      <c r="G244" s="84">
        <f>+(D18*A18-E237*F237)/F244</f>
        <v>4.270242825288908</v>
      </c>
      <c r="H244" s="131">
        <f>ROUND(+F244*G244*$G$247/32.1034,0)</f>
        <v>7946</v>
      </c>
    </row>
    <row r="245" spans="1:7" ht="15.75">
      <c r="A245" s="82" t="s">
        <v>76</v>
      </c>
      <c r="B245" s="84">
        <f>+B11</f>
        <v>3</v>
      </c>
      <c r="C245" s="53" t="s">
        <v>54</v>
      </c>
      <c r="D245" s="87" t="s">
        <v>93</v>
      </c>
      <c r="F245" s="86">
        <f>+E18</f>
        <v>0.07</v>
      </c>
      <c r="G245" s="82"/>
    </row>
    <row r="246" spans="1:8" ht="15.75">
      <c r="A246" s="82" t="s">
        <v>165</v>
      </c>
      <c r="B246" s="137">
        <f>+C11</f>
        <v>60</v>
      </c>
      <c r="C246" s="53" t="s">
        <v>54</v>
      </c>
      <c r="D246" s="159" t="s">
        <v>169</v>
      </c>
      <c r="E246" s="9"/>
      <c r="F246" s="160">
        <f>+D144</f>
        <v>50</v>
      </c>
      <c r="G246" s="161">
        <f>+D18</f>
        <v>4.271028037383178</v>
      </c>
      <c r="H246" s="131">
        <f>ROUND(+F246*G246*$G$247/32.1034,0)</f>
        <v>6</v>
      </c>
    </row>
    <row r="247" spans="1:7" ht="15.75">
      <c r="A247" s="82" t="s">
        <v>166</v>
      </c>
      <c r="B247" s="83">
        <f>+D11</f>
        <v>90</v>
      </c>
      <c r="C247" s="53" t="s">
        <v>29</v>
      </c>
      <c r="D247" s="87" t="s">
        <v>170</v>
      </c>
      <c r="G247" s="245">
        <v>0.96</v>
      </c>
    </row>
    <row r="248" spans="1:3" ht="15.75">
      <c r="A248" s="89" t="s">
        <v>167</v>
      </c>
      <c r="B248" s="138">
        <f>+H11</f>
        <v>3.75</v>
      </c>
      <c r="C248" s="53" t="s">
        <v>48</v>
      </c>
    </row>
    <row r="249" spans="6:8" ht="15.75">
      <c r="F249" s="88" t="s">
        <v>95</v>
      </c>
      <c r="G249" s="88" t="s">
        <v>73</v>
      </c>
      <c r="H249" s="88" t="s">
        <v>171</v>
      </c>
    </row>
    <row r="250" spans="4:8" ht="15.75">
      <c r="D250" s="233" t="s">
        <v>172</v>
      </c>
      <c r="F250" s="85">
        <f>+C18-F246-E237</f>
        <v>66548.83928571429</v>
      </c>
      <c r="G250" s="84">
        <f>ROUND((D18*A18-F246*G246-E237*F237)/F250,2)</f>
        <v>3.99</v>
      </c>
      <c r="H250" s="131">
        <f>ROUND(+F250*G250*G247/32.1034,0)</f>
        <v>7940</v>
      </c>
    </row>
    <row r="251" spans="1:7" ht="15.75">
      <c r="A251" s="168"/>
      <c r="B251" t="s">
        <v>173</v>
      </c>
      <c r="E251" s="37"/>
      <c r="G251" s="88"/>
    </row>
    <row r="252" spans="2:7" ht="15.75">
      <c r="B252" t="s">
        <v>174</v>
      </c>
      <c r="E252" s="37"/>
      <c r="G252" s="88"/>
    </row>
    <row r="253" spans="5:7" ht="15.75">
      <c r="E253" s="37"/>
      <c r="G253" s="88"/>
    </row>
    <row r="254" spans="5:7" ht="15.75">
      <c r="E254" s="37"/>
      <c r="G254" s="88"/>
    </row>
    <row r="255" spans="1:7" ht="18">
      <c r="A255" s="232" t="s">
        <v>40</v>
      </c>
      <c r="E255" s="37"/>
      <c r="G255" s="88"/>
    </row>
    <row r="256" spans="6:8" ht="15.75">
      <c r="F256" s="88" t="s">
        <v>95</v>
      </c>
      <c r="G256" s="88" t="s">
        <v>73</v>
      </c>
      <c r="H256" s="88" t="s">
        <v>171</v>
      </c>
    </row>
    <row r="257" spans="5:8" ht="15.75">
      <c r="E257" s="158" t="s">
        <v>175</v>
      </c>
      <c r="F257" s="85">
        <f>+F221</f>
        <v>5861</v>
      </c>
      <c r="G257" s="84">
        <f>+G221</f>
        <v>4.29</v>
      </c>
      <c r="H257" s="131">
        <f>+G223</f>
        <v>752</v>
      </c>
    </row>
    <row r="258" spans="4:8" ht="16.5" thickBot="1">
      <c r="D258" s="87"/>
      <c r="E258" s="158" t="s">
        <v>176</v>
      </c>
      <c r="F258" s="187">
        <f>+F250</f>
        <v>66548.83928571429</v>
      </c>
      <c r="G258" s="188">
        <f>+G250</f>
        <v>3.99</v>
      </c>
      <c r="H258" s="189">
        <f>+H250</f>
        <v>7940</v>
      </c>
    </row>
    <row r="259" spans="4:8" ht="16.5" thickBot="1">
      <c r="D259" s="87"/>
      <c r="F259" s="190">
        <f>+F257+F258</f>
        <v>72409.83928571429</v>
      </c>
      <c r="G259" s="191">
        <f>+H259*32.1034/F259/G247</f>
        <v>4.01422703093905</v>
      </c>
      <c r="H259" s="192">
        <f>+H257+H258</f>
        <v>8692</v>
      </c>
    </row>
    <row r="261" spans="5:7" ht="15.75">
      <c r="E261" s="37"/>
      <c r="G261" s="88"/>
    </row>
    <row r="262" spans="5:7" ht="15.75">
      <c r="E262" s="37"/>
      <c r="G262" s="88"/>
    </row>
    <row r="263" spans="5:7" ht="15.75">
      <c r="E263" s="37"/>
      <c r="G263" s="88"/>
    </row>
    <row r="264" spans="5:7" ht="15.75">
      <c r="E264" s="37"/>
      <c r="G264" s="88"/>
    </row>
  </sheetData>
  <mergeCells count="43">
    <mergeCell ref="H118:I118"/>
    <mergeCell ref="H117:I117"/>
    <mergeCell ref="A100:B100"/>
    <mergeCell ref="A91:B91"/>
    <mergeCell ref="A118:C118"/>
    <mergeCell ref="A119:C119"/>
    <mergeCell ref="C9:C10"/>
    <mergeCell ref="E10:F10"/>
    <mergeCell ref="E11:F11"/>
    <mergeCell ref="F66:G66"/>
    <mergeCell ref="B66:E66"/>
    <mergeCell ref="C32:D32"/>
    <mergeCell ref="A16:B16"/>
    <mergeCell ref="C16:E16"/>
    <mergeCell ref="B59:E59"/>
    <mergeCell ref="H162:I162"/>
    <mergeCell ref="C227:D227"/>
    <mergeCell ref="E227:F227"/>
    <mergeCell ref="H163:I163"/>
    <mergeCell ref="E175:E176"/>
    <mergeCell ref="H175:I176"/>
    <mergeCell ref="H177:I177"/>
    <mergeCell ref="F196:G196"/>
    <mergeCell ref="H203:I203"/>
    <mergeCell ref="F197:G197"/>
    <mergeCell ref="H214:I214"/>
    <mergeCell ref="D196:E196"/>
    <mergeCell ref="D197:E197"/>
    <mergeCell ref="C214:D214"/>
    <mergeCell ref="E214:G214"/>
    <mergeCell ref="H196:I196"/>
    <mergeCell ref="H197:I197"/>
    <mergeCell ref="H202:I202"/>
    <mergeCell ref="H161:I161"/>
    <mergeCell ref="H119:I119"/>
    <mergeCell ref="F59:G59"/>
    <mergeCell ref="H32:H33"/>
    <mergeCell ref="H66:I66"/>
    <mergeCell ref="H59:I59"/>
    <mergeCell ref="F138:I138"/>
    <mergeCell ref="G32:G33"/>
    <mergeCell ref="H160:I160"/>
    <mergeCell ref="F145:I145"/>
  </mergeCells>
  <printOptions/>
  <pageMargins left="0.75" right="0.75" top="1" bottom="1" header="0.4921259845" footer="0.4921259845"/>
  <pageSetup cellComments="asDisplayed" horizontalDpi="600" verticalDpi="600" orientation="portrait" scale="68" r:id="rId4"/>
  <headerFooter alignWithMargins="0">
    <oddFooter>&amp;LFichier : &amp;F
Onglet : &amp;A
Page &amp;P de &amp;N&amp;CMine-laboratoire
Val-d'Or&amp;R&amp;D
&amp;T</oddFooter>
  </headerFooter>
  <rowBreaks count="4" manualBreakCount="4">
    <brk id="55" max="8" man="1"/>
    <brk id="120" max="8" man="1"/>
    <brk id="181" max="8" man="1"/>
    <brk id="208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3" width="13.421875" style="0" customWidth="1"/>
    <col min="4" max="4" width="14.28125" style="0" customWidth="1"/>
    <col min="5" max="5" width="15.140625" style="0" customWidth="1"/>
    <col min="6" max="6" width="18.140625" style="0" customWidth="1"/>
    <col min="7" max="7" width="12.140625" style="0" customWidth="1"/>
    <col min="8" max="8" width="13.8515625" style="0" customWidth="1"/>
    <col min="9" max="9" width="14.140625" style="0" customWidth="1"/>
    <col min="10" max="16384" width="11.421875" style="0" customWidth="1"/>
  </cols>
  <sheetData>
    <row r="1" ht="12.75">
      <c r="I1" s="205" t="s">
        <v>208</v>
      </c>
    </row>
    <row r="2" ht="27">
      <c r="A2" s="51" t="s">
        <v>2</v>
      </c>
    </row>
    <row r="4" ht="22.5">
      <c r="A4" s="27" t="s">
        <v>1</v>
      </c>
    </row>
    <row r="5" spans="3:8" ht="12.75" customHeight="1">
      <c r="C5" s="10"/>
      <c r="D5" s="10"/>
      <c r="E5" s="284" t="s">
        <v>65</v>
      </c>
      <c r="F5" s="10"/>
      <c r="G5" s="284" t="s">
        <v>177</v>
      </c>
      <c r="H5" s="17" t="str">
        <f>Chantier!I9</f>
        <v>Facteur de</v>
      </c>
    </row>
    <row r="6" spans="1:8" ht="16.5">
      <c r="A6" s="246" t="s">
        <v>209</v>
      </c>
      <c r="C6" s="18" t="s">
        <v>50</v>
      </c>
      <c r="D6" s="19" t="s">
        <v>64</v>
      </c>
      <c r="E6" s="311"/>
      <c r="F6" s="209" t="s">
        <v>66</v>
      </c>
      <c r="G6" s="311"/>
      <c r="H6" s="20" t="str">
        <f>Chantier!I10</f>
        <v>foisonnement</v>
      </c>
    </row>
    <row r="7" spans="3:8" ht="12.75">
      <c r="C7" s="6">
        <f>Chantier!A11</f>
        <v>92.5</v>
      </c>
      <c r="D7" s="6">
        <f>Chantier!B11</f>
        <v>3</v>
      </c>
      <c r="E7" s="6">
        <f>Chantier!C11</f>
        <v>60</v>
      </c>
      <c r="F7" s="4">
        <f>Chantier!D11</f>
        <v>90</v>
      </c>
      <c r="G7" s="4">
        <f>Chantier!H11</f>
        <v>3.75</v>
      </c>
      <c r="H7" s="4">
        <f>Chantier!I11</f>
        <v>1.38</v>
      </c>
    </row>
    <row r="10" ht="16.5">
      <c r="A10" s="246" t="s">
        <v>210</v>
      </c>
    </row>
    <row r="12" spans="1:8" ht="27">
      <c r="A12" s="51"/>
      <c r="F12" s="239" t="s">
        <v>53</v>
      </c>
      <c r="H12" s="10"/>
    </row>
    <row r="13" spans="1:6" ht="15">
      <c r="A13" s="309" t="s">
        <v>178</v>
      </c>
      <c r="B13" s="309"/>
      <c r="C13" s="309" t="s">
        <v>179</v>
      </c>
      <c r="D13" s="309"/>
      <c r="E13" s="229" t="s">
        <v>50</v>
      </c>
      <c r="F13" s="240" t="s">
        <v>180</v>
      </c>
    </row>
    <row r="14" spans="1:6" ht="14.25">
      <c r="A14" s="312">
        <v>10</v>
      </c>
      <c r="B14" s="312"/>
      <c r="C14" s="312">
        <v>2.9</v>
      </c>
      <c r="D14" s="312"/>
      <c r="E14" s="241">
        <v>10</v>
      </c>
      <c r="F14" s="242">
        <v>38</v>
      </c>
    </row>
    <row r="15" ht="13.5" thickBot="1"/>
    <row r="16" spans="1:9" ht="15.75" thickBot="1">
      <c r="A16" s="304" t="s">
        <v>3</v>
      </c>
      <c r="B16" s="305"/>
      <c r="C16" s="306"/>
      <c r="D16" s="304" t="s">
        <v>198</v>
      </c>
      <c r="E16" s="305"/>
      <c r="F16" s="306"/>
      <c r="G16" s="304" t="s">
        <v>199</v>
      </c>
      <c r="H16" s="305"/>
      <c r="I16" s="306"/>
    </row>
    <row r="17" spans="1:9" ht="12.75">
      <c r="A17" s="28" t="s">
        <v>4</v>
      </c>
      <c r="B17" s="29" t="s">
        <v>200</v>
      </c>
      <c r="C17" s="30"/>
      <c r="D17" s="28" t="s">
        <v>4</v>
      </c>
      <c r="E17" s="29" t="s">
        <v>200</v>
      </c>
      <c r="F17" s="30"/>
      <c r="G17" s="28" t="s">
        <v>4</v>
      </c>
      <c r="H17" s="29" t="s">
        <v>200</v>
      </c>
      <c r="I17" s="30"/>
    </row>
    <row r="18" spans="1:9" ht="12.75">
      <c r="A18" s="112">
        <v>6</v>
      </c>
      <c r="B18" s="22">
        <f>+$C$7/(A18-1)</f>
        <v>18.5</v>
      </c>
      <c r="C18" s="11" t="s">
        <v>54</v>
      </c>
      <c r="D18" s="112">
        <v>5</v>
      </c>
      <c r="E18" s="22">
        <f>+$C$7/(D18)</f>
        <v>18.5</v>
      </c>
      <c r="F18" s="11" t="s">
        <v>181</v>
      </c>
      <c r="G18" s="112">
        <v>6</v>
      </c>
      <c r="H18" s="22">
        <f>+$C$7/(G18-0.5)</f>
        <v>16.818181818181817</v>
      </c>
      <c r="I18" s="11" t="s">
        <v>54</v>
      </c>
    </row>
    <row r="19" spans="1:9" ht="15">
      <c r="A19" s="308" t="s">
        <v>5</v>
      </c>
      <c r="B19" s="309"/>
      <c r="C19" s="310"/>
      <c r="D19" s="308" t="s">
        <v>5</v>
      </c>
      <c r="E19" s="309"/>
      <c r="F19" s="310"/>
      <c r="G19" s="308" t="s">
        <v>5</v>
      </c>
      <c r="H19" s="309"/>
      <c r="I19" s="310"/>
    </row>
    <row r="20" spans="1:9" ht="12.75">
      <c r="A20" s="31" t="s">
        <v>182</v>
      </c>
      <c r="B20" s="21" t="s">
        <v>62</v>
      </c>
      <c r="C20" s="32" t="s">
        <v>95</v>
      </c>
      <c r="D20" s="31" t="s">
        <v>182</v>
      </c>
      <c r="E20" s="21" t="s">
        <v>62</v>
      </c>
      <c r="F20" s="32" t="s">
        <v>95</v>
      </c>
      <c r="G20" s="31" t="s">
        <v>182</v>
      </c>
      <c r="H20" s="21" t="s">
        <v>62</v>
      </c>
      <c r="I20" s="32" t="s">
        <v>95</v>
      </c>
    </row>
    <row r="21" spans="1:9" ht="13.5" thickBot="1">
      <c r="A21" s="33">
        <f>+(B18-$C$14)/2*TAN($F$14*PI()/180)</f>
        <v>6.094027886752395</v>
      </c>
      <c r="B21" s="34">
        <f>+A21*(B18-$C$14)/2*$D$7*(A18-0.5)</f>
        <v>784.3013890250331</v>
      </c>
      <c r="C21" s="35">
        <f>B21*$G$7/$H$7</f>
        <v>2131.2537745245468</v>
      </c>
      <c r="D21" s="33">
        <f>+(E18-$C$14)/2*TAN($F$14*PI()/180)</f>
        <v>6.094027886752395</v>
      </c>
      <c r="E21" s="34">
        <f>+D21*(E18-$C$14)/2*$D$7*(D18-0.5)</f>
        <v>641.701136475027</v>
      </c>
      <c r="F21" s="35">
        <f>E21*$G$7/$H$7</f>
        <v>1743.7530882473563</v>
      </c>
      <c r="G21" s="33">
        <f>+(H18-$C$14)/2*TAN($F$14*PI()/180)</f>
        <v>5.437037700826291</v>
      </c>
      <c r="H21" s="34">
        <f>+G21*(H18-$C$14)/2*$D$7*(G18-0.5)</f>
        <v>624.3078539973789</v>
      </c>
      <c r="I21" s="35">
        <f>H21*$G$7/$H$7</f>
        <v>1696.4887336885295</v>
      </c>
    </row>
    <row r="22" spans="1:9" ht="12.75">
      <c r="A22" s="13"/>
      <c r="B22" s="2"/>
      <c r="C22" s="11"/>
      <c r="D22" s="13"/>
      <c r="E22" s="2"/>
      <c r="F22" s="11"/>
      <c r="G22" s="13"/>
      <c r="H22" s="2"/>
      <c r="I22" s="11"/>
    </row>
    <row r="23" spans="1:9" ht="12.75">
      <c r="A23" s="13"/>
      <c r="B23" s="2"/>
      <c r="C23" s="11"/>
      <c r="D23" s="13"/>
      <c r="E23" s="2"/>
      <c r="F23" s="11"/>
      <c r="G23" s="13"/>
      <c r="H23" s="2"/>
      <c r="I23" s="11"/>
    </row>
    <row r="24" spans="1:9" ht="12.75">
      <c r="A24" s="13"/>
      <c r="B24" s="2"/>
      <c r="C24" s="11"/>
      <c r="D24" s="13"/>
      <c r="E24" s="2"/>
      <c r="F24" s="11"/>
      <c r="G24" s="13"/>
      <c r="H24" s="2"/>
      <c r="I24" s="11"/>
    </row>
    <row r="25" spans="1:9" ht="12.75">
      <c r="A25" s="13"/>
      <c r="B25" s="2"/>
      <c r="C25" s="11"/>
      <c r="D25" s="13"/>
      <c r="E25" s="2"/>
      <c r="F25" s="11"/>
      <c r="G25" s="13"/>
      <c r="H25" s="2"/>
      <c r="I25" s="11"/>
    </row>
    <row r="26" spans="1:9" ht="13.5" thickBot="1">
      <c r="A26" s="15"/>
      <c r="B26" s="7"/>
      <c r="C26" s="16"/>
      <c r="D26" s="15"/>
      <c r="E26" s="7"/>
      <c r="F26" s="16"/>
      <c r="G26" s="15"/>
      <c r="H26" s="7"/>
      <c r="I26" s="16"/>
    </row>
    <row r="28" spans="1:10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31" ht="27">
      <c r="A31" s="51" t="s">
        <v>211</v>
      </c>
    </row>
    <row r="33" ht="19.5">
      <c r="A33" s="104" t="s">
        <v>183</v>
      </c>
    </row>
    <row r="34" spans="5:6" ht="12.75">
      <c r="E34" s="235"/>
      <c r="F34" s="231"/>
    </row>
    <row r="35" spans="1:6" ht="12.75">
      <c r="A35" s="302" t="s">
        <v>49</v>
      </c>
      <c r="B35" s="302"/>
      <c r="C35" s="18" t="s">
        <v>66</v>
      </c>
      <c r="D35" s="18" t="s">
        <v>50</v>
      </c>
      <c r="E35" s="307" t="s">
        <v>184</v>
      </c>
      <c r="F35" s="248"/>
    </row>
    <row r="36" spans="1:5" ht="12.75">
      <c r="A36" s="303">
        <v>60</v>
      </c>
      <c r="B36" s="303"/>
      <c r="C36" s="49">
        <v>80</v>
      </c>
      <c r="D36" s="50">
        <f>A36/SIN(C36*PI()/180)</f>
        <v>60.9255967131447</v>
      </c>
      <c r="E36" s="234">
        <f>+D36*COS(C36*PI()/180)</f>
        <v>10.579618842507902</v>
      </c>
    </row>
    <row r="39" ht="19.5">
      <c r="A39" s="104" t="s">
        <v>185</v>
      </c>
    </row>
    <row r="40" ht="19.5">
      <c r="A40" s="63"/>
    </row>
    <row r="41" ht="15">
      <c r="D41" s="52" t="s">
        <v>18</v>
      </c>
    </row>
    <row r="42" spans="4:10" ht="12.75">
      <c r="D42" s="266" t="s">
        <v>49</v>
      </c>
      <c r="E42" s="266"/>
      <c r="F42" s="38" t="s">
        <v>66</v>
      </c>
      <c r="G42" s="38" t="s">
        <v>68</v>
      </c>
      <c r="H42" s="38" t="s">
        <v>77</v>
      </c>
      <c r="I42" s="313" t="s">
        <v>186</v>
      </c>
      <c r="J42" s="248"/>
    </row>
    <row r="43" spans="4:10" ht="12.75">
      <c r="D43" s="316">
        <f>+E7</f>
        <v>60</v>
      </c>
      <c r="E43" s="316"/>
      <c r="F43" s="66">
        <v>80</v>
      </c>
      <c r="G43" s="4">
        <v>2.9</v>
      </c>
      <c r="H43" s="66">
        <v>10.6</v>
      </c>
      <c r="I43" s="317">
        <f>D43/SIN(F43*PI()/180)</f>
        <v>60.9255967131447</v>
      </c>
      <c r="J43" s="248"/>
    </row>
    <row r="44" ht="15">
      <c r="D44" s="52" t="s">
        <v>187</v>
      </c>
    </row>
    <row r="45" spans="4:7" ht="12.75">
      <c r="D45" s="38" t="s">
        <v>188</v>
      </c>
      <c r="E45" s="38" t="s">
        <v>189</v>
      </c>
      <c r="F45" s="38" t="s">
        <v>190</v>
      </c>
      <c r="G45" s="38" t="s">
        <v>191</v>
      </c>
    </row>
    <row r="46" spans="4:7" ht="12.75">
      <c r="D46" s="66">
        <v>2.4</v>
      </c>
      <c r="E46" s="66">
        <v>1.8</v>
      </c>
      <c r="F46" s="105">
        <f>(7.5+2*7.5)/3.28</f>
        <v>6.859756097560976</v>
      </c>
      <c r="G46" s="4">
        <f>ROUND(+F46*E46*D46*G43,0)</f>
        <v>86</v>
      </c>
    </row>
    <row r="49" spans="4:8" ht="12.75">
      <c r="D49" s="266" t="s">
        <v>55</v>
      </c>
      <c r="E49" s="266"/>
      <c r="F49" s="313" t="s">
        <v>52</v>
      </c>
      <c r="G49" s="314"/>
      <c r="H49" s="315"/>
    </row>
    <row r="50" spans="4:8" ht="12.75">
      <c r="D50" s="267">
        <v>2</v>
      </c>
      <c r="E50" s="267"/>
      <c r="F50" s="286">
        <f>+(D43-D50*D46)/(D50+1)</f>
        <v>18.400000000000002</v>
      </c>
      <c r="G50" s="286"/>
      <c r="H50" s="286"/>
    </row>
    <row r="52" spans="4:8" ht="12.75">
      <c r="D52" s="266" t="s">
        <v>20</v>
      </c>
      <c r="E52" s="266"/>
      <c r="F52" s="266"/>
      <c r="G52" s="6">
        <f>+F46*COS((90-F43)*PI()/180)</f>
        <v>6.755540988650818</v>
      </c>
      <c r="H52" t="s">
        <v>54</v>
      </c>
    </row>
    <row r="53" ht="13.5" thickBot="1"/>
    <row r="54" spans="4:7" ht="18">
      <c r="D54" s="69" t="s">
        <v>19</v>
      </c>
      <c r="E54" s="79" t="s">
        <v>192</v>
      </c>
      <c r="F54" s="79" t="s">
        <v>7</v>
      </c>
      <c r="G54" s="75" t="s">
        <v>14</v>
      </c>
    </row>
    <row r="55" spans="4:7" ht="15">
      <c r="D55" s="67" t="s">
        <v>50</v>
      </c>
      <c r="E55" s="50">
        <f>+D50+F46</f>
        <v>8.859756097560975</v>
      </c>
      <c r="F55" s="50">
        <f>+I43</f>
        <v>60.9255967131447</v>
      </c>
      <c r="G55" s="71">
        <f>+F55+E55</f>
        <v>69.78535281070567</v>
      </c>
    </row>
    <row r="56" spans="4:7" ht="15.75" thickBot="1">
      <c r="D56" s="70" t="s">
        <v>95</v>
      </c>
      <c r="E56" s="76">
        <f>ROUND(+D50*G46,0)</f>
        <v>172</v>
      </c>
      <c r="F56" s="76">
        <f>ROUND(+H43*I43,0)</f>
        <v>646</v>
      </c>
      <c r="G56" s="72">
        <f>+F56+E56</f>
        <v>818</v>
      </c>
    </row>
    <row r="57" spans="1:3" ht="12.75">
      <c r="A57" s="322" t="s">
        <v>51</v>
      </c>
      <c r="B57" s="322"/>
      <c r="C57" s="322"/>
    </row>
    <row r="65" ht="19.5">
      <c r="A65" s="104" t="s">
        <v>193</v>
      </c>
    </row>
    <row r="66" ht="19.5">
      <c r="A66" s="63"/>
    </row>
    <row r="67" spans="4:9" ht="15">
      <c r="D67" s="52" t="s">
        <v>18</v>
      </c>
      <c r="I67" s="318" t="s">
        <v>186</v>
      </c>
    </row>
    <row r="68" spans="4:10" ht="12.75">
      <c r="D68" s="266" t="s">
        <v>49</v>
      </c>
      <c r="E68" s="266"/>
      <c r="F68" s="38" t="s">
        <v>66</v>
      </c>
      <c r="G68" s="38" t="s">
        <v>68</v>
      </c>
      <c r="H68" s="204" t="s">
        <v>77</v>
      </c>
      <c r="I68" s="319"/>
      <c r="J68" s="65" t="s">
        <v>73</v>
      </c>
    </row>
    <row r="69" spans="4:10" ht="12.75">
      <c r="D69" s="316">
        <f>+E7</f>
        <v>60</v>
      </c>
      <c r="E69" s="316"/>
      <c r="F69" s="4">
        <f>+F7</f>
        <v>90</v>
      </c>
      <c r="G69" s="4">
        <v>2.9</v>
      </c>
      <c r="H69" s="66">
        <v>12.4</v>
      </c>
      <c r="I69" s="50">
        <f>D69/SIN(F69*PI()/180)</f>
        <v>60</v>
      </c>
      <c r="J69" s="114">
        <v>10</v>
      </c>
    </row>
    <row r="70" ht="15">
      <c r="D70" s="52" t="s">
        <v>187</v>
      </c>
    </row>
    <row r="71" spans="4:8" ht="12.75">
      <c r="D71" s="38" t="s">
        <v>188</v>
      </c>
      <c r="E71" s="38" t="s">
        <v>189</v>
      </c>
      <c r="F71" s="38" t="s">
        <v>190</v>
      </c>
      <c r="G71" s="38" t="s">
        <v>191</v>
      </c>
      <c r="H71" s="38" t="s">
        <v>73</v>
      </c>
    </row>
    <row r="72" spans="4:8" ht="12.75">
      <c r="D72" s="66">
        <v>2.4</v>
      </c>
      <c r="E72" s="66">
        <v>1.8</v>
      </c>
      <c r="F72" s="105">
        <v>6.9</v>
      </c>
      <c r="G72" s="4">
        <f>ROUND(+F72*E72*D72*G69,0)</f>
        <v>86</v>
      </c>
      <c r="H72" s="114">
        <v>10</v>
      </c>
    </row>
    <row r="75" spans="4:8" ht="12.75">
      <c r="D75" s="266" t="s">
        <v>55</v>
      </c>
      <c r="E75" s="266"/>
      <c r="F75" s="313" t="s">
        <v>52</v>
      </c>
      <c r="G75" s="314"/>
      <c r="H75" s="315"/>
    </row>
    <row r="76" spans="4:8" ht="12.75">
      <c r="D76" s="267">
        <v>2</v>
      </c>
      <c r="E76" s="267"/>
      <c r="F76" s="286">
        <f>+(D69-D76*D72)/(D76+1)</f>
        <v>18.400000000000002</v>
      </c>
      <c r="G76" s="286"/>
      <c r="H76" s="286"/>
    </row>
    <row r="78" spans="4:8" ht="12.75">
      <c r="D78" s="266" t="s">
        <v>20</v>
      </c>
      <c r="E78" s="266"/>
      <c r="F78" s="266"/>
      <c r="G78" s="6">
        <f>+F72</f>
        <v>6.9</v>
      </c>
      <c r="H78" t="s">
        <v>54</v>
      </c>
    </row>
    <row r="79" ht="13.5" thickBot="1"/>
    <row r="80" spans="4:7" ht="18">
      <c r="D80" s="69" t="s">
        <v>19</v>
      </c>
      <c r="E80" s="79" t="s">
        <v>192</v>
      </c>
      <c r="F80" s="79" t="s">
        <v>7</v>
      </c>
      <c r="G80" s="75" t="s">
        <v>14</v>
      </c>
    </row>
    <row r="81" spans="4:7" ht="15">
      <c r="D81" s="67" t="s">
        <v>50</v>
      </c>
      <c r="E81" s="50">
        <f>+D76+F72</f>
        <v>8.9</v>
      </c>
      <c r="F81" s="50">
        <f>+I69</f>
        <v>60</v>
      </c>
      <c r="G81" s="71">
        <f>+F81+E81</f>
        <v>68.9</v>
      </c>
    </row>
    <row r="82" spans="4:7" ht="15">
      <c r="D82" s="68" t="s">
        <v>95</v>
      </c>
      <c r="E82" s="77">
        <f>ROUND(+D76*G72,0)</f>
        <v>172</v>
      </c>
      <c r="F82" s="77">
        <f>ROUND(+H69*I69,0)</f>
        <v>744</v>
      </c>
      <c r="G82" s="73">
        <f>+F82+E82</f>
        <v>916</v>
      </c>
    </row>
    <row r="83" spans="1:7" ht="15.75" thickBot="1">
      <c r="A83" s="320" t="s">
        <v>194</v>
      </c>
      <c r="B83" s="320"/>
      <c r="C83" s="321"/>
      <c r="D83" s="70" t="s">
        <v>73</v>
      </c>
      <c r="E83" s="78">
        <f>+H72</f>
        <v>10</v>
      </c>
      <c r="F83" s="78">
        <f>+J69</f>
        <v>10</v>
      </c>
      <c r="G83" s="74">
        <f>(+F82*F83+E82*E83)/G82</f>
        <v>10</v>
      </c>
    </row>
  </sheetData>
  <mergeCells count="34">
    <mergeCell ref="I42:J42"/>
    <mergeCell ref="I43:J43"/>
    <mergeCell ref="I67:I68"/>
    <mergeCell ref="A83:C83"/>
    <mergeCell ref="D68:E68"/>
    <mergeCell ref="D75:E75"/>
    <mergeCell ref="D49:E49"/>
    <mergeCell ref="A57:C57"/>
    <mergeCell ref="D78:F78"/>
    <mergeCell ref="F75:H75"/>
    <mergeCell ref="F76:H76"/>
    <mergeCell ref="F49:H49"/>
    <mergeCell ref="D76:E76"/>
    <mergeCell ref="D42:E42"/>
    <mergeCell ref="F50:H50"/>
    <mergeCell ref="D69:E69"/>
    <mergeCell ref="D50:E50"/>
    <mergeCell ref="D52:F52"/>
    <mergeCell ref="D43:E43"/>
    <mergeCell ref="E5:E6"/>
    <mergeCell ref="G5:G6"/>
    <mergeCell ref="C14:D14"/>
    <mergeCell ref="A13:B13"/>
    <mergeCell ref="C13:D13"/>
    <mergeCell ref="A14:B14"/>
    <mergeCell ref="G16:I16"/>
    <mergeCell ref="A19:C19"/>
    <mergeCell ref="D19:F19"/>
    <mergeCell ref="G19:I19"/>
    <mergeCell ref="A35:B35"/>
    <mergeCell ref="A36:B36"/>
    <mergeCell ref="A16:C16"/>
    <mergeCell ref="D16:F16"/>
    <mergeCell ref="E35:F35"/>
  </mergeCells>
  <printOptions/>
  <pageMargins left="0.75" right="0.75" top="1" bottom="1" header="0.4921259845" footer="0.4921259845"/>
  <pageSetup cellComments="asDisplayed" fitToHeight="2" horizontalDpi="600" verticalDpi="600" orientation="landscape" scale="85" r:id="rId4"/>
  <headerFooter alignWithMargins="0">
    <oddFooter>&amp;LFichier : &amp;F
Onglet : &amp;A
Page &amp;P de &amp;N&amp;CMine-laboratoire
Val-d'Or&amp;R&amp;D
&amp;T</oddFooter>
  </headerFooter>
  <rowBreaks count="2" manualBreakCount="2">
    <brk id="29" max="255" man="1"/>
    <brk id="6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G2:G2"/>
  <sheetViews>
    <sheetView zoomScale="75" zoomScaleNormal="75" workbookViewId="0" topLeftCell="A1">
      <selection activeCell="G2" sqref="G2"/>
    </sheetView>
  </sheetViews>
  <sheetFormatPr defaultColWidth="9.140625" defaultRowHeight="12.75"/>
  <cols>
    <col min="1" max="16384" width="11.421875" style="0" customWidth="1"/>
  </cols>
  <sheetData>
    <row r="2" ht="12.75">
      <c r="G2" s="205" t="s">
        <v>208</v>
      </c>
    </row>
  </sheetData>
  <printOptions/>
  <pageMargins left="0.75" right="0.75" top="1" bottom="1" header="0.4921259845" footer="0.4921259845"/>
  <pageSetup fitToHeight="1" fitToWidth="1" horizontalDpi="600" verticalDpi="600" orientation="portrait" scale="99" r:id="rId2"/>
  <headerFooter alignWithMargins="0">
    <oddFooter>&amp;LFichier : &amp;F
Onglet : &amp;A
Page &amp;P de &amp;N&amp;CMine-laboratoire
Val-d'Or&amp;R&amp;D
&amp;T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2003-01-07T15:38:12Z</cp:lastPrinted>
  <dcterms:created xsi:type="dcterms:W3CDTF">2000-06-27T14:00:10Z</dcterms:created>
  <dcterms:modified xsi:type="dcterms:W3CDTF">2004-01-05T16:59:19Z</dcterms:modified>
  <cp:category/>
  <cp:version/>
  <cp:contentType/>
  <cp:contentStatus/>
</cp:coreProperties>
</file>