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65" windowWidth="11970" windowHeight="2925" activeTab="0"/>
  </bookViews>
  <sheets>
    <sheet name="Stope" sheetId="1" r:id="rId1"/>
    <sheet name="Development" sheetId="2" r:id="rId2"/>
    <sheet name="Drawing" sheetId="3" r:id="rId3"/>
  </sheets>
  <definedNames>
    <definedName name="_xlnm.Print_Area" localSheetId="0">'Stope'!$A$4:$I$264</definedName>
    <definedName name="_xlnm.Print_Titles" localSheetId="0">'Stope'!$1:$3</definedName>
    <definedName name="Z_2BC40D40_13F4_11D5_97CF_00B0D01AB7C9_.wvu.PrintArea" localSheetId="0" hidden="1">'Stope'!$A$5:$I$263</definedName>
    <definedName name="Z_2BC40D40_13F4_11D5_97CF_00B0D01AB7C9_.wvu.PrintTitles" localSheetId="0" hidden="1">'Stope'!$1:$3</definedName>
  </definedNames>
  <calcPr fullCalcOnLoad="1"/>
</workbook>
</file>

<file path=xl/comments1.xml><?xml version="1.0" encoding="utf-8"?>
<comments xmlns="http://schemas.openxmlformats.org/spreadsheetml/2006/main">
  <authors>
    <author>rolacroi</author>
  </authors>
  <commentList>
    <comment ref="D88" authorId="0">
      <text>
        <r>
          <rPr>
            <b/>
            <sz val="11"/>
            <rFont val="Tahoma"/>
            <family val="2"/>
          </rPr>
          <t xml:space="preserve">This percentage increases the development time (see cells E119 and E120)
</t>
        </r>
      </text>
    </comment>
    <comment ref="D161" authorId="0">
      <text>
        <r>
          <rPr>
            <b/>
            <sz val="10"/>
            <rFont val="Tahoma"/>
            <family val="2"/>
          </rPr>
          <t>Enter the number of active stopes in relation to the desired production level</t>
        </r>
      </text>
    </comment>
    <comment ref="D142" authorId="0">
      <text>
        <r>
          <rPr>
            <b/>
            <sz val="10"/>
            <rFont val="Tahoma"/>
            <family val="2"/>
          </rPr>
          <t>Enter the mucking rate during the stope blasting phase</t>
        </r>
        <r>
          <rPr>
            <b/>
            <sz val="12"/>
            <rFont val="Tahoma"/>
            <family val="2"/>
          </rPr>
          <t xml:space="preserve">
</t>
        </r>
      </text>
    </comment>
    <comment ref="C145" authorId="0">
      <text>
        <r>
          <rPr>
            <b/>
            <sz val="10"/>
            <rFont val="Tahoma"/>
            <family val="2"/>
          </rPr>
          <t>See "Development" sheet to determine the lost tonnage</t>
        </r>
      </text>
    </comment>
    <comment ref="I93" authorId="0">
      <text>
        <r>
          <rPr>
            <b/>
            <sz val="11"/>
            <rFont val="Tahoma"/>
            <family val="2"/>
          </rPr>
          <t>Identify the critical path by entering different figures</t>
        </r>
        <r>
          <rPr>
            <sz val="11"/>
            <rFont val="Tahoma"/>
            <family val="2"/>
          </rPr>
          <t xml:space="preserve">
</t>
        </r>
      </text>
    </comment>
    <comment ref="D127" authorId="0">
      <text>
        <r>
          <rPr>
            <b/>
            <sz val="10"/>
            <rFont val="Tahoma"/>
            <family val="2"/>
          </rPr>
          <t>See "Productivity_Long-Hole" file if you wish to verify the productivity for your operation</t>
        </r>
      </text>
    </comment>
    <comment ref="B10" authorId="0">
      <text>
        <r>
          <rPr>
            <b/>
            <sz val="10"/>
            <rFont val="Tahoma"/>
            <family val="2"/>
          </rPr>
          <t>Measured perpendicularly to the vein</t>
        </r>
      </text>
    </comment>
    <comment ref="C11" authorId="0">
      <text>
        <r>
          <rPr>
            <b/>
            <sz val="10"/>
            <rFont val="Tahoma"/>
            <family val="2"/>
          </rPr>
          <t>Height of the stope to be mined, including the sub-levels</t>
        </r>
      </text>
    </comment>
    <comment ref="E17" authorId="0">
      <text>
        <r>
          <rPr>
            <b/>
            <sz val="10"/>
            <rFont val="Tahoma"/>
            <family val="2"/>
          </rPr>
          <t>Extra dilution to the one already included in the geological reserves.
See "Stope_Dilution" file if you wish to verify your estimate.</t>
        </r>
      </text>
    </comment>
    <comment ref="I101" authorId="0">
      <text>
        <r>
          <rPr>
            <b/>
            <sz val="11"/>
            <rFont val="Tahoma"/>
            <family val="2"/>
          </rPr>
          <t>Identify the critical path by entering different figures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rolacroi</author>
  </authors>
  <commentList>
    <comment ref="C14" authorId="0">
      <text>
        <r>
          <rPr>
            <b/>
            <sz val="10"/>
            <rFont val="Tahoma"/>
            <family val="2"/>
          </rPr>
          <t>If the drawpoint is still filled with ore, you must enter "0" in the drawpoint width</t>
        </r>
      </text>
    </comment>
  </commentList>
</comments>
</file>

<file path=xl/sharedStrings.xml><?xml version="1.0" encoding="utf-8"?>
<sst xmlns="http://schemas.openxmlformats.org/spreadsheetml/2006/main" count="381" uniqueCount="205">
  <si>
    <t>tonnes</t>
  </si>
  <si>
    <t>TOTAL</t>
  </si>
  <si>
    <t>Dimensions</t>
  </si>
  <si>
    <t xml:space="preserve">TOTAL </t>
  </si>
  <si>
    <t>°</t>
  </si>
  <si>
    <t xml:space="preserve"> ou</t>
  </si>
  <si>
    <t>Total</t>
  </si>
  <si>
    <t>tonnes/m³</t>
  </si>
  <si>
    <t>Volume (m³)</t>
  </si>
  <si>
    <t xml:space="preserve">Long-Hole Stope Evaluation </t>
  </si>
  <si>
    <t>1.0 - Physical parameters of the stope</t>
  </si>
  <si>
    <t>Typical stope</t>
  </si>
  <si>
    <t>Length (m)</t>
  </si>
  <si>
    <t>Width (m)</t>
  </si>
  <si>
    <t>Vertical height (m)</t>
  </si>
  <si>
    <t>Dip (°)</t>
  </si>
  <si>
    <t>Slope distance (m)</t>
  </si>
  <si>
    <t>Density (t/m³)</t>
  </si>
  <si>
    <t>Swell</t>
  </si>
  <si>
    <t>factor</t>
  </si>
  <si>
    <t>2.0 - Stope development</t>
  </si>
  <si>
    <t>Ore (reserves)</t>
  </si>
  <si>
    <t>Milled ore</t>
  </si>
  <si>
    <t>Tonnage</t>
  </si>
  <si>
    <t>Grade (g/t)</t>
  </si>
  <si>
    <t xml:space="preserve">Dilution </t>
  </si>
  <si>
    <t>2.1 - Development parameters</t>
  </si>
  <si>
    <t>Width</t>
  </si>
  <si>
    <t>Height</t>
  </si>
  <si>
    <t>T/m advanced</t>
  </si>
  <si>
    <t xml:space="preserve"> # of men</t>
  </si>
  <si>
    <t>M advanced /shift</t>
  </si>
  <si>
    <t>M advanced        /manshift</t>
  </si>
  <si>
    <t>Drift 1</t>
  </si>
  <si>
    <t>Drift 2</t>
  </si>
  <si>
    <t>Drawpoints</t>
  </si>
  <si>
    <t>Timbered raise</t>
  </si>
  <si>
    <t>Alimak raise</t>
  </si>
  <si>
    <t>Sub-level 1</t>
  </si>
  <si>
    <t>Sub-level 2</t>
  </si>
  <si>
    <t>Sub-level 3</t>
  </si>
  <si>
    <t>2.0 - Stope development (cont'd)</t>
  </si>
  <si>
    <r>
      <t xml:space="preserve">2.2 - Required development </t>
    </r>
    <r>
      <rPr>
        <sz val="11"/>
        <rFont val="Arial Black"/>
        <family val="2"/>
      </rPr>
      <t>(see "Development" sheet)</t>
    </r>
  </si>
  <si>
    <t>BY THE UPPER</t>
  </si>
  <si>
    <t>LEVEL</t>
  </si>
  <si>
    <t>Upper drifts</t>
  </si>
  <si>
    <t>Stope access</t>
  </si>
  <si>
    <t>Length</t>
  </si>
  <si>
    <t>Tonnes/meter</t>
  </si>
  <si>
    <t>Ore</t>
  </si>
  <si>
    <t>Waste</t>
  </si>
  <si>
    <t>Dilution</t>
  </si>
  <si>
    <t>Diluted grade (g/t)</t>
  </si>
  <si>
    <t>Tonnes</t>
  </si>
  <si>
    <t>BY THE LOWER</t>
  </si>
  <si>
    <t>Lower drifts</t>
  </si>
  <si>
    <t>Main raise</t>
  </si>
  <si>
    <t>Opening for Alimak</t>
  </si>
  <si>
    <t>Sub-level 4</t>
  </si>
  <si>
    <t>Open raise</t>
  </si>
  <si>
    <t>Slot raise</t>
  </si>
  <si>
    <t>2.3 - Development schedule parameters</t>
  </si>
  <si>
    <t>Number of shifts/day</t>
  </si>
  <si>
    <t>Number of working days/month</t>
  </si>
  <si>
    <t>Contingency</t>
  </si>
  <si>
    <t>shifts</t>
  </si>
  <si>
    <t>working days</t>
  </si>
  <si>
    <t>2.4 - Calculation of the development time</t>
  </si>
  <si>
    <t>Upper level</t>
  </si>
  <si>
    <t># of shifts/day</t>
  </si>
  <si>
    <t>Advances/shift</t>
  </si>
  <si>
    <t># required days</t>
  </si>
  <si>
    <t xml:space="preserve">Number of </t>
  </si>
  <si>
    <t>installation days</t>
  </si>
  <si>
    <t>Sequence</t>
  </si>
  <si>
    <t>Lower level</t>
  </si>
  <si>
    <t>Time +</t>
  </si>
  <si>
    <t>Contingency  =</t>
  </si>
  <si>
    <t>DEVELOPMENT TIME</t>
  </si>
  <si>
    <t>(WORKING DAYS)</t>
  </si>
  <si>
    <t xml:space="preserve">3.0 - Stope production calculation </t>
  </si>
  <si>
    <t>3.1 - Mining parameters</t>
  </si>
  <si>
    <t>Productivity</t>
  </si>
  <si>
    <t>Number of men/shift</t>
  </si>
  <si>
    <t>Milling days/year</t>
  </si>
  <si>
    <t>tonnes/manshift</t>
  </si>
  <si>
    <t>men</t>
  </si>
  <si>
    <t>3.2 - Stope life calculation</t>
  </si>
  <si>
    <t>Broken tonnes/day (in production)</t>
  </si>
  <si>
    <t>Remaining tonnage inside the stope</t>
  </si>
  <si>
    <t xml:space="preserve"> = Recovered tonnage inside the stope</t>
  </si>
  <si>
    <t>Stope life (production)</t>
  </si>
  <si>
    <t>months</t>
  </si>
  <si>
    <t>Time required to muck the rest of the stope</t>
  </si>
  <si>
    <t>tonnes/day</t>
  </si>
  <si>
    <t>tonnes/shift</t>
  </si>
  <si>
    <t>In order to maintain a constant production rate, the number of production stopes must be proportional to the number of stopes in the final mucking phase.</t>
  </si>
  <si>
    <t>an optimum ratio of the production time over the final mucking time which is equal to</t>
  </si>
  <si>
    <t xml:space="preserve"> to maintain a maximum productivity with</t>
  </si>
  <si>
    <t>a minimum number of active stopes.</t>
  </si>
  <si>
    <t xml:space="preserve"> -  Lost ore between drawpoints</t>
  </si>
  <si>
    <t>Actual tonnage/day</t>
  </si>
  <si>
    <t>Average milled tonnage/day (annual basis)</t>
  </si>
  <si>
    <t>Number of stopes (production phase)</t>
  </si>
  <si>
    <r>
      <t>Note</t>
    </r>
    <r>
      <rPr>
        <b/>
        <sz val="10"/>
        <rFont val="Arial"/>
        <family val="2"/>
      </rPr>
      <t xml:space="preserve">:  </t>
    </r>
    <r>
      <rPr>
        <sz val="10"/>
        <rFont val="Arial"/>
        <family val="2"/>
      </rPr>
      <t>The calculations presume that the work schedule is the same for production and ore mucking.</t>
    </r>
  </si>
  <si>
    <r>
      <t>3</t>
    </r>
    <r>
      <rPr>
        <i/>
        <u val="single"/>
        <sz val="12"/>
        <rFont val="Arial Black"/>
        <family val="2"/>
      </rPr>
      <t>.3.1 - Calculation of the number of stopes in the development phase to maintain the production rate</t>
    </r>
  </si>
  <si>
    <t>In order to maintain a constant production rate, the number of production stopes must be proportional to the number of stopes in the development phase.</t>
  </si>
  <si>
    <t>an optimum ratio of the production time over the development time which is equal to</t>
  </si>
  <si>
    <t>.</t>
  </si>
  <si>
    <t>Actual ore tonnage/day</t>
  </si>
  <si>
    <t>Average milled ore tonnage/day                      (annual basis)</t>
  </si>
  <si>
    <t>Number of stopes (development phase)</t>
  </si>
  <si>
    <r>
      <t>Note</t>
    </r>
    <r>
      <rPr>
        <b/>
        <sz val="10"/>
        <rFont val="Arial"/>
        <family val="2"/>
      </rPr>
      <t xml:space="preserve">:  </t>
    </r>
    <r>
      <rPr>
        <sz val="10"/>
        <rFont val="Arial"/>
        <family val="2"/>
      </rPr>
      <t>The calculations presume that the work schedule is the same for production and development.</t>
    </r>
  </si>
  <si>
    <t>4.0 - Backfilling</t>
  </si>
  <si>
    <t>4.1 - Calculation of the volume to backfill</t>
  </si>
  <si>
    <t>Mined tonnage from the stope (dilution included)</t>
  </si>
  <si>
    <t>Drifts</t>
  </si>
  <si>
    <t>Others</t>
  </si>
  <si>
    <t>Total tonnage</t>
  </si>
  <si>
    <t>Volume to backfill</t>
  </si>
  <si>
    <t>m³</t>
  </si>
  <si>
    <t>4.2 - Calculation of the time required to backfill</t>
  </si>
  <si>
    <t>Number of barricades</t>
  </si>
  <si>
    <t>Number of days/barricade</t>
  </si>
  <si>
    <t>Working days</t>
  </si>
  <si>
    <t xml:space="preserve"> - Construction of barricades</t>
  </si>
  <si>
    <t>Backfilling capacity (solid tonnes/hour)</t>
  </si>
  <si>
    <t>In situ backfill density</t>
  </si>
  <si>
    <t>Effective backfilling time per shift</t>
  </si>
  <si>
    <t>Number of required shifts</t>
  </si>
  <si>
    <t>tonnes/hour</t>
  </si>
  <si>
    <t>effective hours/shift</t>
  </si>
  <si>
    <t>shifts/day</t>
  </si>
  <si>
    <t xml:space="preserve"> - Total time required</t>
  </si>
  <si>
    <t xml:space="preserve"> (in accordance with the development schedule entered in section 2.3)</t>
  </si>
  <si>
    <t>5.0 - Compilation</t>
  </si>
  <si>
    <t>DEVELOPMENT</t>
  </si>
  <si>
    <t>Raise</t>
  </si>
  <si>
    <t>Sub-level</t>
  </si>
  <si>
    <t>Other openings</t>
  </si>
  <si>
    <t>ounces</t>
  </si>
  <si>
    <t>MINED ORE CALCULATION FROM ORIGINAL RESERVES DURING STOPE DEVELOPMENT</t>
  </si>
  <si>
    <t>Diluted ore (Dev.)</t>
  </si>
  <si>
    <t>Ore from reserves</t>
  </si>
  <si>
    <t>STOPE</t>
  </si>
  <si>
    <t>Ounces</t>
  </si>
  <si>
    <t>Vertical height</t>
  </si>
  <si>
    <t>Dip</t>
  </si>
  <si>
    <t>Density</t>
  </si>
  <si>
    <t>meters</t>
  </si>
  <si>
    <t>Reserves</t>
  </si>
  <si>
    <t>Lost ore between DP</t>
  </si>
  <si>
    <t>Mill recovery</t>
  </si>
  <si>
    <t>Milled ore *</t>
  </si>
  <si>
    <t>* The milled ore from the stope originates from the diluted geological reserves (section 1.0) minus the portion of the mined reserves</t>
  </si>
  <si>
    <t xml:space="preserve">   during stope development.</t>
  </si>
  <si>
    <t>DEVELOPMENT + STOPE</t>
  </si>
  <si>
    <t>Milled ore from development</t>
  </si>
  <si>
    <t>Milled ore from the stope</t>
  </si>
  <si>
    <t>Drawpoint parameters</t>
  </si>
  <si>
    <t>Physical parameters</t>
  </si>
  <si>
    <t>Density           (t/m³)</t>
  </si>
  <si>
    <t>Planned spacing (m)</t>
  </si>
  <si>
    <t>Drawpoint width (m)</t>
  </si>
  <si>
    <t>Friction angle</t>
  </si>
  <si>
    <t>of the ore (°)</t>
  </si>
  <si>
    <t>Drawpoints at both ends</t>
  </si>
  <si>
    <t>No drawpoint at both ends</t>
  </si>
  <si>
    <t>One drawpoint at one end</t>
  </si>
  <si>
    <t>Number</t>
  </si>
  <si>
    <t>Actual spacing</t>
  </si>
  <si>
    <t>Lost ore between drawpoints</t>
  </si>
  <si>
    <t>Height (m)</t>
  </si>
  <si>
    <t>Central raise in the ore</t>
  </si>
  <si>
    <t>Vertical difference (m)</t>
  </si>
  <si>
    <t>Horizontal distance (m)</t>
  </si>
  <si>
    <t>Central raise in the waste in a wall with regularly spaced sub-levels</t>
  </si>
  <si>
    <t>RAISE</t>
  </si>
  <si>
    <t>T/m avanced</t>
  </si>
  <si>
    <t>Raise length</t>
  </si>
  <si>
    <t>SUB-LEVELS</t>
  </si>
  <si>
    <t>Sub-level height</t>
  </si>
  <si>
    <t>Sub-level width</t>
  </si>
  <si>
    <t>Sub-level length</t>
  </si>
  <si>
    <t>T/sub-level</t>
  </si>
  <si>
    <t>Number of sub-levels</t>
  </si>
  <si>
    <t>Actual spacing between sub-levels (m)</t>
  </si>
  <si>
    <t>Thickness of pillar between the raise and the stope</t>
  </si>
  <si>
    <t>Compilation</t>
  </si>
  <si>
    <t>Sub-levels</t>
  </si>
  <si>
    <t>Cross-section</t>
  </si>
  <si>
    <t>Raise in the ore at one end with sub-levels</t>
  </si>
  <si>
    <t>Longitudinal view</t>
  </si>
  <si>
    <t>Mucking capacity during the blasting phase</t>
  </si>
  <si>
    <t>a)  muck the excess due to the swell</t>
  </si>
  <si>
    <t>b)  muck to equipment capacity</t>
  </si>
  <si>
    <t>Mucked tonnes/day (in production)</t>
  </si>
  <si>
    <t xml:space="preserve"> - Backfilling time</t>
  </si>
  <si>
    <t>Version:  December 18, 2002</t>
  </si>
  <si>
    <t>Raise configurations depending on its position in relation to the stope</t>
  </si>
  <si>
    <t xml:space="preserve"> - Typical stope</t>
  </si>
  <si>
    <t xml:space="preserve"> - Drawpoint parameters</t>
  </si>
  <si>
    <t>Tonnes/shift (final mucking of the stope)</t>
  </si>
  <si>
    <t>Number of stopes (final mucking phase)</t>
  </si>
  <si>
    <r>
      <t>3</t>
    </r>
    <r>
      <rPr>
        <i/>
        <u val="single"/>
        <sz val="12"/>
        <rFont val="Arial Black"/>
        <family val="2"/>
      </rPr>
      <t>.3 - Calculation of production with relation to the number of active stopes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</si>
</sst>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#,##0.0"/>
    <numFmt numFmtId="179" formatCode="#,##0.000"/>
  </numFmts>
  <fonts count="2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u val="single"/>
      <sz val="14"/>
      <name val="Arial Black"/>
      <family val="2"/>
    </font>
    <font>
      <b/>
      <u val="single"/>
      <sz val="10"/>
      <name val="Arial"/>
      <family val="2"/>
    </font>
    <font>
      <u val="single"/>
      <sz val="12"/>
      <name val="Arial Black"/>
      <family val="2"/>
    </font>
    <font>
      <u val="single"/>
      <sz val="18"/>
      <name val="Arial Black"/>
      <family val="2"/>
    </font>
    <font>
      <b/>
      <sz val="16"/>
      <name val="Arial"/>
      <family val="2"/>
    </font>
    <font>
      <sz val="12"/>
      <name val="Arial Black"/>
      <family val="2"/>
    </font>
    <font>
      <b/>
      <sz val="14"/>
      <name val="Arial"/>
      <family val="2"/>
    </font>
    <font>
      <sz val="11"/>
      <name val="Arial Black"/>
      <family val="2"/>
    </font>
    <font>
      <u val="single"/>
      <sz val="16"/>
      <name val="Arial Black"/>
      <family val="2"/>
    </font>
    <font>
      <i/>
      <u val="single"/>
      <sz val="12"/>
      <name val="Arial Black"/>
      <family val="2"/>
    </font>
    <font>
      <b/>
      <sz val="10"/>
      <name val="Tahoma"/>
      <family val="2"/>
    </font>
    <font>
      <b/>
      <sz val="16"/>
      <name val="Arial Black"/>
      <family val="2"/>
    </font>
    <font>
      <b/>
      <sz val="20"/>
      <name val="Arial Black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name val="Arial"/>
      <family val="2"/>
    </font>
    <font>
      <b/>
      <sz val="12"/>
      <name val="Tahoma"/>
      <family val="2"/>
    </font>
    <font>
      <b/>
      <sz val="13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19" applyAlignment="1">
      <alignment horizontal="center"/>
    </xf>
    <xf numFmtId="9" fontId="0" fillId="0" borderId="0" xfId="19" applyFont="1" applyAlignment="1">
      <alignment horizontal="center"/>
    </xf>
    <xf numFmtId="0" fontId="7" fillId="0" borderId="0" xfId="0" applyFont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indent="3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5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4" fontId="0" fillId="2" borderId="2" xfId="0" applyNumberForma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2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164" fontId="5" fillId="2" borderId="7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/>
    </xf>
    <xf numFmtId="2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9" fontId="1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indent="6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21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5" borderId="28" xfId="0" applyFont="1" applyFill="1" applyBorder="1" applyAlignment="1">
      <alignment/>
    </xf>
    <xf numFmtId="164" fontId="5" fillId="0" borderId="26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0" fillId="2" borderId="29" xfId="0" applyFill="1" applyBorder="1" applyAlignment="1">
      <alignment horizont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left" indent="2"/>
    </xf>
    <xf numFmtId="0" fontId="15" fillId="0" borderId="0" xfId="0" applyFont="1" applyAlignment="1">
      <alignment/>
    </xf>
    <xf numFmtId="0" fontId="12" fillId="0" borderId="0" xfId="0" applyFont="1" applyAlignment="1">
      <alignment horizontal="left" indent="1"/>
    </xf>
    <xf numFmtId="164" fontId="0" fillId="4" borderId="2" xfId="0" applyNumberForma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" xfId="0" applyFill="1" applyBorder="1" applyAlignment="1">
      <alignment/>
    </xf>
    <xf numFmtId="2" fontId="0" fillId="4" borderId="2" xfId="0" applyNumberFormat="1" applyFill="1" applyBorder="1" applyAlignment="1">
      <alignment horizontal="center"/>
    </xf>
    <xf numFmtId="9" fontId="0" fillId="4" borderId="2" xfId="19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9" fontId="0" fillId="4" borderId="10" xfId="19" applyFill="1" applyBorder="1" applyAlignment="1">
      <alignment horizontal="center"/>
    </xf>
    <xf numFmtId="2" fontId="0" fillId="4" borderId="2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9" fontId="0" fillId="4" borderId="0" xfId="19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9" fontId="0" fillId="4" borderId="2" xfId="19" applyFill="1" applyBorder="1" applyAlignment="1">
      <alignment/>
    </xf>
    <xf numFmtId="164" fontId="2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" fontId="2" fillId="2" borderId="11" xfId="0" applyNumberFormat="1" applyFont="1" applyFill="1" applyBorder="1" applyAlignment="1">
      <alignment/>
    </xf>
    <xf numFmtId="0" fontId="2" fillId="4" borderId="2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164" fontId="1" fillId="2" borderId="2" xfId="0" applyNumberFormat="1" applyFont="1" applyFill="1" applyBorder="1" applyAlignment="1">
      <alignment/>
    </xf>
    <xf numFmtId="2" fontId="1" fillId="2" borderId="2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32" xfId="0" applyNumberForma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0" borderId="0" xfId="0" applyFont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0" fillId="0" borderId="2" xfId="0" applyFill="1" applyBorder="1" applyAlignment="1">
      <alignment horizontal="center"/>
    </xf>
    <xf numFmtId="0" fontId="19" fillId="0" borderId="0" xfId="0" applyFont="1" applyAlignment="1">
      <alignment/>
    </xf>
    <xf numFmtId="1" fontId="0" fillId="2" borderId="2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left" indent="2"/>
    </xf>
    <xf numFmtId="0" fontId="2" fillId="2" borderId="19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5" xfId="0" applyBorder="1" applyAlignment="1">
      <alignment/>
    </xf>
    <xf numFmtId="164" fontId="5" fillId="0" borderId="2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2" fillId="0" borderId="36" xfId="0" applyFont="1" applyBorder="1" applyAlignment="1">
      <alignment horizontal="center"/>
    </xf>
    <xf numFmtId="1" fontId="0" fillId="2" borderId="31" xfId="0" applyNumberFormat="1" applyFill="1" applyBorder="1" applyAlignment="1">
      <alignment/>
    </xf>
    <xf numFmtId="2" fontId="0" fillId="2" borderId="29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" fontId="0" fillId="2" borderId="37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2" fillId="0" borderId="15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/>
    </xf>
    <xf numFmtId="0" fontId="1" fillId="2" borderId="40" xfId="0" applyFont="1" applyFill="1" applyBorder="1" applyAlignment="1">
      <alignment horizontal="center"/>
    </xf>
    <xf numFmtId="0" fontId="0" fillId="2" borderId="29" xfId="0" applyNumberForma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2" fillId="6" borderId="43" xfId="0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2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7"/>
    </xf>
    <xf numFmtId="0" fontId="1" fillId="3" borderId="1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5" fontId="1" fillId="4" borderId="2" xfId="19" applyNumberFormat="1" applyFont="1" applyFill="1" applyBorder="1" applyAlignment="1">
      <alignment/>
    </xf>
    <xf numFmtId="0" fontId="24" fillId="0" borderId="0" xfId="0" applyFont="1" applyAlignment="1">
      <alignment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3" borderId="48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5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" fillId="2" borderId="5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13</xdr:row>
      <xdr:rowOff>28575</xdr:rowOff>
    </xdr:from>
    <xdr:to>
      <xdr:col>8</xdr:col>
      <xdr:colOff>800100</xdr:colOff>
      <xdr:row>24</xdr:row>
      <xdr:rowOff>142875</xdr:rowOff>
    </xdr:to>
    <xdr:grpSp>
      <xdr:nvGrpSpPr>
        <xdr:cNvPr id="1" name="Group 598"/>
        <xdr:cNvGrpSpPr>
          <a:grpSpLocks/>
        </xdr:cNvGrpSpPr>
      </xdr:nvGrpSpPr>
      <xdr:grpSpPr>
        <a:xfrm>
          <a:off x="5238750" y="2533650"/>
          <a:ext cx="3562350" cy="1895475"/>
          <a:chOff x="550" y="249"/>
          <a:chExt cx="374" cy="199"/>
        </a:xfrm>
        <a:solidFill>
          <a:srgbClr val="FFFFFF"/>
        </a:solidFill>
      </xdr:grpSpPr>
      <xdr:grpSp>
        <xdr:nvGrpSpPr>
          <xdr:cNvPr id="2" name="Group 597"/>
          <xdr:cNvGrpSpPr>
            <a:grpSpLocks/>
          </xdr:cNvGrpSpPr>
        </xdr:nvGrpSpPr>
        <xdr:grpSpPr>
          <a:xfrm>
            <a:off x="550" y="249"/>
            <a:ext cx="374" cy="189"/>
            <a:chOff x="550" y="249"/>
            <a:chExt cx="374" cy="189"/>
          </a:xfrm>
          <a:solidFill>
            <a:srgbClr val="FFFFFF"/>
          </a:solidFill>
        </xdr:grpSpPr>
        <xdr:sp>
          <xdr:nvSpPr>
            <xdr:cNvPr id="3" name="Polygon 4"/>
            <xdr:cNvSpPr>
              <a:spLocks/>
            </xdr:cNvSpPr>
          </xdr:nvSpPr>
          <xdr:spPr>
            <a:xfrm>
              <a:off x="602" y="249"/>
              <a:ext cx="52" cy="133"/>
            </a:xfrm>
            <a:custGeom>
              <a:pathLst>
                <a:path h="548" w="290">
                  <a:moveTo>
                    <a:pt x="0" y="501"/>
                  </a:moveTo>
                  <a:lnTo>
                    <a:pt x="70" y="329"/>
                  </a:lnTo>
                  <a:lnTo>
                    <a:pt x="192" y="111"/>
                  </a:lnTo>
                  <a:lnTo>
                    <a:pt x="246" y="4"/>
                  </a:lnTo>
                  <a:lnTo>
                    <a:pt x="290" y="0"/>
                  </a:lnTo>
                  <a:lnTo>
                    <a:pt x="216" y="134"/>
                  </a:lnTo>
                  <a:lnTo>
                    <a:pt x="134" y="287"/>
                  </a:lnTo>
                  <a:lnTo>
                    <a:pt x="64" y="419"/>
                  </a:lnTo>
                  <a:lnTo>
                    <a:pt x="12" y="548"/>
                  </a:lnTo>
                  <a:lnTo>
                    <a:pt x="2" y="499"/>
                  </a:lnTo>
                  <a:lnTo>
                    <a:pt x="0" y="501"/>
                  </a:lnTo>
                  <a:close/>
                </a:path>
              </a:pathLst>
            </a:cu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Polygon 5"/>
            <xdr:cNvSpPr>
              <a:spLocks/>
            </xdr:cNvSpPr>
          </xdr:nvSpPr>
          <xdr:spPr>
            <a:xfrm>
              <a:off x="602" y="356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Polygon 6"/>
            <xdr:cNvSpPr>
              <a:spLocks/>
            </xdr:cNvSpPr>
          </xdr:nvSpPr>
          <xdr:spPr>
            <a:xfrm>
              <a:off x="639" y="258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Polygon 7"/>
            <xdr:cNvSpPr>
              <a:spLocks/>
            </xdr:cNvSpPr>
          </xdr:nvSpPr>
          <xdr:spPr>
            <a:xfrm>
              <a:off x="550" y="356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8"/>
            <xdr:cNvSpPr>
              <a:spLocks/>
            </xdr:cNvSpPr>
          </xdr:nvSpPr>
          <xdr:spPr>
            <a:xfrm>
              <a:off x="562" y="356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>
              <a:off x="562" y="368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10"/>
            <xdr:cNvSpPr>
              <a:spLocks/>
            </xdr:cNvSpPr>
          </xdr:nvSpPr>
          <xdr:spPr>
            <a:xfrm>
              <a:off x="687" y="268"/>
              <a:ext cx="233" cy="1"/>
            </a:xfrm>
            <a:custGeom>
              <a:pathLst>
                <a:path h="1" w="233">
                  <a:moveTo>
                    <a:pt x="0" y="0"/>
                  </a:moveTo>
                  <a:lnTo>
                    <a:pt x="1" y="0"/>
                  </a:lnTo>
                  <a:lnTo>
                    <a:pt x="233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1"/>
            <xdr:cNvSpPr>
              <a:spLocks/>
            </xdr:cNvSpPr>
          </xdr:nvSpPr>
          <xdr:spPr>
            <a:xfrm>
              <a:off x="685" y="257"/>
              <a:ext cx="235" cy="1"/>
            </a:xfrm>
            <a:custGeom>
              <a:pathLst>
                <a:path h="1" w="235">
                  <a:moveTo>
                    <a:pt x="0" y="0"/>
                  </a:moveTo>
                  <a:lnTo>
                    <a:pt x="235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Polygon 12"/>
            <xdr:cNvSpPr>
              <a:spLocks/>
            </xdr:cNvSpPr>
          </xdr:nvSpPr>
          <xdr:spPr>
            <a:xfrm>
              <a:off x="689" y="355"/>
              <a:ext cx="12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3"/>
            <xdr:cNvSpPr>
              <a:spLocks/>
            </xdr:cNvSpPr>
          </xdr:nvSpPr>
          <xdr:spPr>
            <a:xfrm>
              <a:off x="689" y="366"/>
              <a:ext cx="2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Polygon 14"/>
            <xdr:cNvSpPr>
              <a:spLocks/>
            </xdr:cNvSpPr>
          </xdr:nvSpPr>
          <xdr:spPr>
            <a:xfrm>
              <a:off x="743" y="355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Polygon 15"/>
            <xdr:cNvSpPr>
              <a:spLocks/>
            </xdr:cNvSpPr>
          </xdr:nvSpPr>
          <xdr:spPr>
            <a:xfrm>
              <a:off x="800" y="355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Polygon 16"/>
            <xdr:cNvSpPr>
              <a:spLocks/>
            </xdr:cNvSpPr>
          </xdr:nvSpPr>
          <xdr:spPr>
            <a:xfrm>
              <a:off x="859" y="355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7"/>
            <xdr:cNvSpPr>
              <a:spLocks/>
            </xdr:cNvSpPr>
          </xdr:nvSpPr>
          <xdr:spPr>
            <a:xfrm>
              <a:off x="764" y="268"/>
              <a:ext cx="4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8"/>
            <xdr:cNvSpPr>
              <a:spLocks/>
            </xdr:cNvSpPr>
          </xdr:nvSpPr>
          <xdr:spPr>
            <a:xfrm>
              <a:off x="688" y="355"/>
              <a:ext cx="2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9"/>
            <xdr:cNvSpPr>
              <a:spLocks/>
            </xdr:cNvSpPr>
          </xdr:nvSpPr>
          <xdr:spPr>
            <a:xfrm>
              <a:off x="771" y="268"/>
              <a:ext cx="40" cy="8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20"/>
            <xdr:cNvSpPr>
              <a:spLocks/>
            </xdr:cNvSpPr>
          </xdr:nvSpPr>
          <xdr:spPr>
            <a:xfrm>
              <a:off x="689" y="268"/>
              <a:ext cx="1" cy="87"/>
            </a:xfrm>
            <a:custGeom>
              <a:pathLst>
                <a:path h="87" w="1">
                  <a:moveTo>
                    <a:pt x="0" y="0"/>
                  </a:moveTo>
                  <a:lnTo>
                    <a:pt x="0" y="87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21"/>
            <xdr:cNvSpPr>
              <a:spLocks/>
            </xdr:cNvSpPr>
          </xdr:nvSpPr>
          <xdr:spPr>
            <a:xfrm>
              <a:off x="913" y="268"/>
              <a:ext cx="0" cy="9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Polygon 22"/>
            <xdr:cNvSpPr>
              <a:spLocks/>
            </xdr:cNvSpPr>
          </xdr:nvSpPr>
          <xdr:spPr>
            <a:xfrm>
              <a:off x="903" y="355"/>
              <a:ext cx="11" cy="11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23"/>
            <xdr:cNvSpPr>
              <a:spLocks/>
            </xdr:cNvSpPr>
          </xdr:nvSpPr>
          <xdr:spPr>
            <a:xfrm>
              <a:off x="687" y="437"/>
              <a:ext cx="225" cy="1"/>
            </a:xfrm>
            <a:custGeom>
              <a:pathLst>
                <a:path h="1" w="225">
                  <a:moveTo>
                    <a:pt x="0" y="0"/>
                  </a:moveTo>
                  <a:lnTo>
                    <a:pt x="225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4"/>
            <xdr:cNvSpPr>
              <a:spLocks/>
            </xdr:cNvSpPr>
          </xdr:nvSpPr>
          <xdr:spPr>
            <a:xfrm>
              <a:off x="688" y="392"/>
              <a:ext cx="224" cy="1"/>
            </a:xfrm>
            <a:custGeom>
              <a:pathLst>
                <a:path h="1" w="224">
                  <a:moveTo>
                    <a:pt x="0" y="0"/>
                  </a:moveTo>
                  <a:lnTo>
                    <a:pt x="224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5"/>
            <xdr:cNvSpPr>
              <a:spLocks/>
            </xdr:cNvSpPr>
          </xdr:nvSpPr>
          <xdr:spPr>
            <a:xfrm>
              <a:off x="687" y="382"/>
              <a:ext cx="2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6"/>
            <xdr:cNvSpPr>
              <a:spLocks/>
            </xdr:cNvSpPr>
          </xdr:nvSpPr>
          <xdr:spPr>
            <a:xfrm flipV="1">
              <a:off x="699" y="39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7"/>
            <xdr:cNvSpPr>
              <a:spLocks/>
            </xdr:cNvSpPr>
          </xdr:nvSpPr>
          <xdr:spPr>
            <a:xfrm flipV="1">
              <a:off x="688" y="39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8"/>
            <xdr:cNvSpPr>
              <a:spLocks/>
            </xdr:cNvSpPr>
          </xdr:nvSpPr>
          <xdr:spPr>
            <a:xfrm flipV="1">
              <a:off x="811" y="39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9"/>
            <xdr:cNvSpPr>
              <a:spLocks/>
            </xdr:cNvSpPr>
          </xdr:nvSpPr>
          <xdr:spPr>
            <a:xfrm flipV="1">
              <a:off x="799" y="39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0"/>
            <xdr:cNvSpPr>
              <a:spLocks/>
            </xdr:cNvSpPr>
          </xdr:nvSpPr>
          <xdr:spPr>
            <a:xfrm flipV="1">
              <a:off x="869" y="39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1"/>
            <xdr:cNvSpPr>
              <a:spLocks/>
            </xdr:cNvSpPr>
          </xdr:nvSpPr>
          <xdr:spPr>
            <a:xfrm flipV="1">
              <a:off x="857" y="39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2"/>
            <xdr:cNvSpPr>
              <a:spLocks/>
            </xdr:cNvSpPr>
          </xdr:nvSpPr>
          <xdr:spPr>
            <a:xfrm flipV="1">
              <a:off x="752" y="393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3"/>
            <xdr:cNvSpPr>
              <a:spLocks/>
            </xdr:cNvSpPr>
          </xdr:nvSpPr>
          <xdr:spPr>
            <a:xfrm flipV="1">
              <a:off x="741" y="394"/>
              <a:ext cx="0" cy="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4"/>
            <xdr:cNvSpPr>
              <a:spLocks/>
            </xdr:cNvSpPr>
          </xdr:nvSpPr>
          <xdr:spPr>
            <a:xfrm>
              <a:off x="912" y="390"/>
              <a:ext cx="1" cy="47"/>
            </a:xfrm>
            <a:custGeom>
              <a:pathLst>
                <a:path h="47" w="1">
                  <a:moveTo>
                    <a:pt x="0" y="47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5"/>
            <xdr:cNvSpPr>
              <a:spLocks/>
            </xdr:cNvSpPr>
          </xdr:nvSpPr>
          <xdr:spPr>
            <a:xfrm flipV="1">
              <a:off x="900" y="394"/>
              <a:ext cx="0" cy="4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Polygon 36"/>
            <xdr:cNvSpPr>
              <a:spLocks/>
            </xdr:cNvSpPr>
          </xdr:nvSpPr>
          <xdr:spPr>
            <a:xfrm>
              <a:off x="679" y="383"/>
              <a:ext cx="245" cy="10"/>
            </a:xfrm>
            <a:custGeom>
              <a:pathLst>
                <a:path h="33" w="722">
                  <a:moveTo>
                    <a:pt x="16" y="11"/>
                  </a:moveTo>
                  <a:lnTo>
                    <a:pt x="100" y="1"/>
                  </a:lnTo>
                  <a:lnTo>
                    <a:pt x="198" y="17"/>
                  </a:lnTo>
                  <a:lnTo>
                    <a:pt x="264" y="7"/>
                  </a:lnTo>
                  <a:lnTo>
                    <a:pt x="368" y="5"/>
                  </a:lnTo>
                  <a:lnTo>
                    <a:pt x="469" y="18"/>
                  </a:lnTo>
                  <a:lnTo>
                    <a:pt x="537" y="0"/>
                  </a:lnTo>
                  <a:lnTo>
                    <a:pt x="645" y="16"/>
                  </a:lnTo>
                  <a:lnTo>
                    <a:pt x="705" y="10"/>
                  </a:lnTo>
                  <a:lnTo>
                    <a:pt x="722" y="26"/>
                  </a:lnTo>
                  <a:lnTo>
                    <a:pt x="655" y="30"/>
                  </a:lnTo>
                  <a:lnTo>
                    <a:pt x="583" y="23"/>
                  </a:lnTo>
                  <a:lnTo>
                    <a:pt x="455" y="33"/>
                  </a:lnTo>
                  <a:lnTo>
                    <a:pt x="349" y="23"/>
                  </a:lnTo>
                  <a:lnTo>
                    <a:pt x="255" y="22"/>
                  </a:lnTo>
                  <a:lnTo>
                    <a:pt x="121" y="33"/>
                  </a:lnTo>
                  <a:lnTo>
                    <a:pt x="57" y="23"/>
                  </a:lnTo>
                  <a:lnTo>
                    <a:pt x="0" y="30"/>
                  </a:lnTo>
                  <a:lnTo>
                    <a:pt x="16" y="11"/>
                  </a:lnTo>
                  <a:close/>
                </a:path>
              </a:pathLst>
            </a:cu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prstDash val="lgDashDot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Line 37"/>
          <xdr:cNvSpPr>
            <a:spLocks/>
          </xdr:cNvSpPr>
        </xdr:nvSpPr>
        <xdr:spPr>
          <a:xfrm>
            <a:off x="657" y="269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40"/>
          <xdr:cNvSpPr>
            <a:spLocks/>
          </xdr:cNvSpPr>
        </xdr:nvSpPr>
        <xdr:spPr>
          <a:xfrm>
            <a:off x="659" y="297"/>
            <a:ext cx="2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 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ver</a:t>
            </a:r>
          </a:p>
        </xdr:txBody>
      </xdr:sp>
      <xdr:sp>
        <xdr:nvSpPr>
          <xdr:cNvPr id="38" name="AutoShape 41"/>
          <xdr:cNvSpPr>
            <a:spLocks/>
          </xdr:cNvSpPr>
        </xdr:nvSpPr>
        <xdr:spPr>
          <a:xfrm>
            <a:off x="622" y="335"/>
            <a:ext cx="6" cy="21"/>
          </a:xfrm>
          <a:custGeom>
            <a:pathLst>
              <a:path h="12" w="7">
                <a:moveTo>
                  <a:pt x="0" y="0"/>
                </a:moveTo>
                <a:cubicBezTo>
                  <a:pt x="1" y="1"/>
                  <a:pt x="5" y="3"/>
                  <a:pt x="6" y="5"/>
                </a:cubicBezTo>
                <a:cubicBezTo>
                  <a:pt x="7" y="7"/>
                  <a:pt x="6" y="11"/>
                  <a:pt x="6" y="1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42"/>
          <xdr:cNvSpPr>
            <a:spLocks/>
          </xdr:cNvSpPr>
        </xdr:nvSpPr>
        <xdr:spPr>
          <a:xfrm>
            <a:off x="629" y="329"/>
            <a:ext cx="23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D°</a:t>
            </a:r>
          </a:p>
        </xdr:txBody>
      </xdr:sp>
      <xdr:sp>
        <xdr:nvSpPr>
          <xdr:cNvPr id="40" name="Line 43"/>
          <xdr:cNvSpPr>
            <a:spLocks/>
          </xdr:cNvSpPr>
        </xdr:nvSpPr>
        <xdr:spPr>
          <a:xfrm>
            <a:off x="687" y="448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620" y="357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5"/>
          <xdr:cNvSpPr>
            <a:spLocks/>
          </xdr:cNvSpPr>
        </xdr:nvSpPr>
        <xdr:spPr>
          <a:xfrm>
            <a:off x="649" y="269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495300</xdr:colOff>
      <xdr:row>46</xdr:row>
      <xdr:rowOff>180975</xdr:rowOff>
    </xdr:from>
    <xdr:to>
      <xdr:col>4</xdr:col>
      <xdr:colOff>733425</xdr:colOff>
      <xdr:row>47</xdr:row>
      <xdr:rowOff>57150</xdr:rowOff>
    </xdr:to>
    <xdr:sp>
      <xdr:nvSpPr>
        <xdr:cNvPr id="43" name="Rectangle 248"/>
        <xdr:cNvSpPr>
          <a:spLocks/>
        </xdr:cNvSpPr>
      </xdr:nvSpPr>
      <xdr:spPr>
        <a:xfrm>
          <a:off x="495300" y="8972550"/>
          <a:ext cx="42481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3rd drilling level or UPPER LEVEL</a:t>
          </a:r>
        </a:p>
      </xdr:txBody>
    </xdr:sp>
    <xdr:clientData/>
  </xdr:twoCellAnchor>
  <xdr:twoCellAnchor>
    <xdr:from>
      <xdr:col>0</xdr:col>
      <xdr:colOff>495300</xdr:colOff>
      <xdr:row>49</xdr:row>
      <xdr:rowOff>38100</xdr:rowOff>
    </xdr:from>
    <xdr:to>
      <xdr:col>4</xdr:col>
      <xdr:colOff>733425</xdr:colOff>
      <xdr:row>49</xdr:row>
      <xdr:rowOff>228600</xdr:rowOff>
    </xdr:to>
    <xdr:sp>
      <xdr:nvSpPr>
        <xdr:cNvPr id="44" name="Rectangle 249"/>
        <xdr:cNvSpPr>
          <a:spLocks/>
        </xdr:cNvSpPr>
      </xdr:nvSpPr>
      <xdr:spPr>
        <a:xfrm>
          <a:off x="495300" y="9686925"/>
          <a:ext cx="4248150" cy="1905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2nd drilling sub-level</a:t>
          </a:r>
        </a:p>
      </xdr:txBody>
    </xdr:sp>
    <xdr:clientData/>
  </xdr:twoCellAnchor>
  <xdr:twoCellAnchor>
    <xdr:from>
      <xdr:col>0</xdr:col>
      <xdr:colOff>542925</xdr:colOff>
      <xdr:row>51</xdr:row>
      <xdr:rowOff>209550</xdr:rowOff>
    </xdr:from>
    <xdr:to>
      <xdr:col>4</xdr:col>
      <xdr:colOff>781050</xdr:colOff>
      <xdr:row>52</xdr:row>
      <xdr:rowOff>123825</xdr:rowOff>
    </xdr:to>
    <xdr:sp>
      <xdr:nvSpPr>
        <xdr:cNvPr id="45" name="Rectangle 250"/>
        <xdr:cNvSpPr>
          <a:spLocks/>
        </xdr:cNvSpPr>
      </xdr:nvSpPr>
      <xdr:spPr>
        <a:xfrm>
          <a:off x="542925" y="10429875"/>
          <a:ext cx="42481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lst drilling sub-level</a:t>
          </a:r>
        </a:p>
      </xdr:txBody>
    </xdr:sp>
    <xdr:clientData/>
  </xdr:twoCellAnchor>
  <xdr:twoCellAnchor>
    <xdr:from>
      <xdr:col>4</xdr:col>
      <xdr:colOff>495300</xdr:colOff>
      <xdr:row>47</xdr:row>
      <xdr:rowOff>38100</xdr:rowOff>
    </xdr:from>
    <xdr:to>
      <xdr:col>4</xdr:col>
      <xdr:colOff>657225</xdr:colOff>
      <xdr:row>49</xdr:row>
      <xdr:rowOff>38100</xdr:rowOff>
    </xdr:to>
    <xdr:sp>
      <xdr:nvSpPr>
        <xdr:cNvPr id="46" name="Rectangle 251"/>
        <xdr:cNvSpPr>
          <a:spLocks/>
        </xdr:cNvSpPr>
      </xdr:nvSpPr>
      <xdr:spPr>
        <a:xfrm>
          <a:off x="4505325" y="9115425"/>
          <a:ext cx="161925" cy="5715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49</xdr:row>
      <xdr:rowOff>238125</xdr:rowOff>
    </xdr:from>
    <xdr:to>
      <xdr:col>4</xdr:col>
      <xdr:colOff>638175</xdr:colOff>
      <xdr:row>51</xdr:row>
      <xdr:rowOff>200025</xdr:rowOff>
    </xdr:to>
    <xdr:sp>
      <xdr:nvSpPr>
        <xdr:cNvPr id="47" name="Rectangle 252"/>
        <xdr:cNvSpPr>
          <a:spLocks/>
        </xdr:cNvSpPr>
      </xdr:nvSpPr>
      <xdr:spPr>
        <a:xfrm>
          <a:off x="4486275" y="9886950"/>
          <a:ext cx="161925" cy="533400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52</xdr:row>
      <xdr:rowOff>104775</xdr:rowOff>
    </xdr:from>
    <xdr:to>
      <xdr:col>4</xdr:col>
      <xdr:colOff>638175</xdr:colOff>
      <xdr:row>54</xdr:row>
      <xdr:rowOff>190500</xdr:rowOff>
    </xdr:to>
    <xdr:sp>
      <xdr:nvSpPr>
        <xdr:cNvPr id="48" name="Rectangle 253"/>
        <xdr:cNvSpPr>
          <a:spLocks/>
        </xdr:cNvSpPr>
      </xdr:nvSpPr>
      <xdr:spPr>
        <a:xfrm>
          <a:off x="4486275" y="10610850"/>
          <a:ext cx="161925" cy="657225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50</xdr:row>
      <xdr:rowOff>76200</xdr:rowOff>
    </xdr:from>
    <xdr:to>
      <xdr:col>6</xdr:col>
      <xdr:colOff>314325</xdr:colOff>
      <xdr:row>51</xdr:row>
      <xdr:rowOff>66675</xdr:rowOff>
    </xdr:to>
    <xdr:sp>
      <xdr:nvSpPr>
        <xdr:cNvPr id="49" name="TextBox 254"/>
        <xdr:cNvSpPr txBox="1">
          <a:spLocks noChangeArrowheads="1"/>
        </xdr:cNvSpPr>
      </xdr:nvSpPr>
      <xdr:spPr>
        <a:xfrm>
          <a:off x="5505450" y="10010775"/>
          <a:ext cx="790575" cy="276225"/>
        </a:xfrm>
        <a:prstGeom prst="rect">
          <a:avLst/>
        </a:prstGeom>
        <a:solidFill>
          <a:srgbClr val="FF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Drop raises</a:t>
          </a:r>
        </a:p>
      </xdr:txBody>
    </xdr:sp>
    <xdr:clientData/>
  </xdr:twoCellAnchor>
  <xdr:twoCellAnchor>
    <xdr:from>
      <xdr:col>4</xdr:col>
      <xdr:colOff>638175</xdr:colOff>
      <xdr:row>51</xdr:row>
      <xdr:rowOff>66675</xdr:rowOff>
    </xdr:from>
    <xdr:to>
      <xdr:col>5</xdr:col>
      <xdr:colOff>828675</xdr:colOff>
      <xdr:row>53</xdr:row>
      <xdr:rowOff>152400</xdr:rowOff>
    </xdr:to>
    <xdr:sp>
      <xdr:nvSpPr>
        <xdr:cNvPr id="50" name="AutoShape 255"/>
        <xdr:cNvSpPr>
          <a:spLocks/>
        </xdr:cNvSpPr>
      </xdr:nvSpPr>
      <xdr:spPr>
        <a:xfrm rot="5400000">
          <a:off x="4648200" y="10287000"/>
          <a:ext cx="1257300" cy="657225"/>
        </a:xfrm>
        <a:prstGeom prst="curvedConnector2">
          <a:avLst>
            <a:gd name="adj1" fmla="val -948550"/>
            <a:gd name="adj2" fmla="val -840152"/>
            <a:gd name="adj3" fmla="val -9485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50</xdr:row>
      <xdr:rowOff>219075</xdr:rowOff>
    </xdr:from>
    <xdr:to>
      <xdr:col>5</xdr:col>
      <xdr:colOff>428625</xdr:colOff>
      <xdr:row>50</xdr:row>
      <xdr:rowOff>219075</xdr:rowOff>
    </xdr:to>
    <xdr:sp>
      <xdr:nvSpPr>
        <xdr:cNvPr id="51" name="AutoShape 256"/>
        <xdr:cNvSpPr>
          <a:spLocks/>
        </xdr:cNvSpPr>
      </xdr:nvSpPr>
      <xdr:spPr>
        <a:xfrm rot="10800000">
          <a:off x="4648200" y="10153650"/>
          <a:ext cx="857250" cy="0"/>
        </a:xfrm>
        <a:prstGeom prst="straightConnector1">
          <a:avLst>
            <a:gd name="adj1" fmla="val -692222"/>
            <a:gd name="adj2" fmla="val -50004"/>
            <a:gd name="adj3" fmla="val -692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48</xdr:row>
      <xdr:rowOff>38100</xdr:rowOff>
    </xdr:from>
    <xdr:to>
      <xdr:col>5</xdr:col>
      <xdr:colOff>828675</xdr:colOff>
      <xdr:row>50</xdr:row>
      <xdr:rowOff>76200</xdr:rowOff>
    </xdr:to>
    <xdr:sp>
      <xdr:nvSpPr>
        <xdr:cNvPr id="52" name="AutoShape 257"/>
        <xdr:cNvSpPr>
          <a:spLocks/>
        </xdr:cNvSpPr>
      </xdr:nvSpPr>
      <xdr:spPr>
        <a:xfrm rot="5400000" flipH="1">
          <a:off x="4667250" y="9401175"/>
          <a:ext cx="1238250" cy="609600"/>
        </a:xfrm>
        <a:prstGeom prst="curvedConnector2">
          <a:avLst>
            <a:gd name="adj1" fmla="val -1018750"/>
            <a:gd name="adj2" fmla="val 730000"/>
            <a:gd name="adj3" fmla="val -10187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45</xdr:row>
      <xdr:rowOff>76200</xdr:rowOff>
    </xdr:from>
    <xdr:to>
      <xdr:col>2</xdr:col>
      <xdr:colOff>600075</xdr:colOff>
      <xdr:row>46</xdr:row>
      <xdr:rowOff>76200</xdr:rowOff>
    </xdr:to>
    <xdr:sp>
      <xdr:nvSpPr>
        <xdr:cNvPr id="53" name="TextBox 258"/>
        <xdr:cNvSpPr txBox="1">
          <a:spLocks noChangeArrowheads="1"/>
        </xdr:cNvSpPr>
      </xdr:nvSpPr>
      <xdr:spPr>
        <a:xfrm>
          <a:off x="304800" y="8582025"/>
          <a:ext cx="24003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Typical Long-Hole Stope</a:t>
          </a:r>
        </a:p>
      </xdr:txBody>
    </xdr:sp>
    <xdr:clientData/>
  </xdr:twoCellAnchor>
  <xdr:twoCellAnchor>
    <xdr:from>
      <xdr:col>0</xdr:col>
      <xdr:colOff>542925</xdr:colOff>
      <xdr:row>54</xdr:row>
      <xdr:rowOff>57150</xdr:rowOff>
    </xdr:from>
    <xdr:to>
      <xdr:col>4</xdr:col>
      <xdr:colOff>781050</xdr:colOff>
      <xdr:row>54</xdr:row>
      <xdr:rowOff>247650</xdr:rowOff>
    </xdr:to>
    <xdr:sp>
      <xdr:nvSpPr>
        <xdr:cNvPr id="54" name="Rectangle 259"/>
        <xdr:cNvSpPr>
          <a:spLocks/>
        </xdr:cNvSpPr>
      </xdr:nvSpPr>
      <xdr:spPr>
        <a:xfrm>
          <a:off x="542925" y="11134725"/>
          <a:ext cx="4248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LOWER LEVEL</a:t>
          </a:r>
        </a:p>
      </xdr:txBody>
    </xdr:sp>
    <xdr:clientData/>
  </xdr:twoCellAnchor>
  <xdr:twoCellAnchor>
    <xdr:from>
      <xdr:col>2</xdr:col>
      <xdr:colOff>723900</xdr:colOff>
      <xdr:row>137</xdr:row>
      <xdr:rowOff>57150</xdr:rowOff>
    </xdr:from>
    <xdr:to>
      <xdr:col>3</xdr:col>
      <xdr:colOff>0</xdr:colOff>
      <xdr:row>141</xdr:row>
      <xdr:rowOff>19050</xdr:rowOff>
    </xdr:to>
    <xdr:sp>
      <xdr:nvSpPr>
        <xdr:cNvPr id="55" name="AutoShape 536"/>
        <xdr:cNvSpPr>
          <a:spLocks/>
        </xdr:cNvSpPr>
      </xdr:nvSpPr>
      <xdr:spPr>
        <a:xfrm>
          <a:off x="2828925" y="26631900"/>
          <a:ext cx="285750" cy="609600"/>
        </a:xfrm>
        <a:custGeom>
          <a:pathLst>
            <a:path h="64" w="30">
              <a:moveTo>
                <a:pt x="30" y="0"/>
              </a:moveTo>
              <a:cubicBezTo>
                <a:pt x="25" y="5"/>
                <a:pt x="0" y="22"/>
                <a:pt x="0" y="33"/>
              </a:cubicBezTo>
              <a:cubicBezTo>
                <a:pt x="0" y="44"/>
                <a:pt x="24" y="58"/>
                <a:pt x="30" y="6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138</xdr:row>
      <xdr:rowOff>152400</xdr:rowOff>
    </xdr:from>
    <xdr:to>
      <xdr:col>3</xdr:col>
      <xdr:colOff>0</xdr:colOff>
      <xdr:row>141</xdr:row>
      <xdr:rowOff>0</xdr:rowOff>
    </xdr:to>
    <xdr:sp>
      <xdr:nvSpPr>
        <xdr:cNvPr id="56" name="AutoShape 537"/>
        <xdr:cNvSpPr>
          <a:spLocks/>
        </xdr:cNvSpPr>
      </xdr:nvSpPr>
      <xdr:spPr>
        <a:xfrm>
          <a:off x="2838450" y="26889075"/>
          <a:ext cx="276225" cy="333375"/>
        </a:xfrm>
        <a:custGeom>
          <a:pathLst>
            <a:path h="35" w="15">
              <a:moveTo>
                <a:pt x="15" y="0"/>
              </a:moveTo>
              <a:cubicBezTo>
                <a:pt x="13" y="2"/>
                <a:pt x="0" y="4"/>
                <a:pt x="0" y="10"/>
              </a:cubicBezTo>
              <a:cubicBezTo>
                <a:pt x="0" y="16"/>
                <a:pt x="11" y="30"/>
                <a:pt x="14" y="3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66</xdr:row>
      <xdr:rowOff>180975</xdr:rowOff>
    </xdr:from>
    <xdr:to>
      <xdr:col>0</xdr:col>
      <xdr:colOff>409575</xdr:colOff>
      <xdr:row>80</xdr:row>
      <xdr:rowOff>28575</xdr:rowOff>
    </xdr:to>
    <xdr:sp>
      <xdr:nvSpPr>
        <xdr:cNvPr id="1" name="Rectangle 178"/>
        <xdr:cNvSpPr>
          <a:spLocks/>
        </xdr:cNvSpPr>
      </xdr:nvSpPr>
      <xdr:spPr>
        <a:xfrm>
          <a:off x="257175" y="12363450"/>
          <a:ext cx="15240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41</xdr:row>
      <xdr:rowOff>0</xdr:rowOff>
    </xdr:from>
    <xdr:to>
      <xdr:col>2</xdr:col>
      <xdr:colOff>238125</xdr:colOff>
      <xdr:row>54</xdr:row>
      <xdr:rowOff>19050</xdr:rowOff>
    </xdr:to>
    <xdr:sp>
      <xdr:nvSpPr>
        <xdr:cNvPr id="2" name="Polygon 150"/>
        <xdr:cNvSpPr>
          <a:spLocks/>
        </xdr:cNvSpPr>
      </xdr:nvSpPr>
      <xdr:spPr>
        <a:xfrm>
          <a:off x="866775" y="7820025"/>
          <a:ext cx="1047750" cy="2200275"/>
        </a:xfrm>
        <a:custGeom>
          <a:pathLst>
            <a:path h="223" w="110">
              <a:moveTo>
                <a:pt x="0" y="222"/>
              </a:moveTo>
              <a:lnTo>
                <a:pt x="98" y="0"/>
              </a:lnTo>
              <a:lnTo>
                <a:pt x="110" y="0"/>
              </a:lnTo>
              <a:lnTo>
                <a:pt x="12" y="223"/>
              </a:lnTo>
              <a:lnTo>
                <a:pt x="0" y="222"/>
              </a:lnTo>
              <a:close/>
            </a:path>
          </a:pathLst>
        </a:custGeom>
        <a:pattFill prst="wdDnDiag">
          <a:fgClr>
            <a:srgbClr val="FF0000"/>
          </a:fgClr>
          <a:bgClr>
            <a:srgbClr val="FFFFFF"/>
          </a:bgClr>
        </a:pattFill>
        <a:ln w="19050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51</xdr:row>
      <xdr:rowOff>85725</xdr:rowOff>
    </xdr:from>
    <xdr:to>
      <xdr:col>1</xdr:col>
      <xdr:colOff>285750</xdr:colOff>
      <xdr:row>52</xdr:row>
      <xdr:rowOff>28575</xdr:rowOff>
    </xdr:to>
    <xdr:sp>
      <xdr:nvSpPr>
        <xdr:cNvPr id="3" name="Polygon 156"/>
        <xdr:cNvSpPr>
          <a:spLocks/>
        </xdr:cNvSpPr>
      </xdr:nvSpPr>
      <xdr:spPr>
        <a:xfrm>
          <a:off x="647700" y="9553575"/>
          <a:ext cx="4000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48</xdr:row>
      <xdr:rowOff>95250</xdr:rowOff>
    </xdr:from>
    <xdr:to>
      <xdr:col>1</xdr:col>
      <xdr:colOff>466725</xdr:colOff>
      <xdr:row>49</xdr:row>
      <xdr:rowOff>38100</xdr:rowOff>
    </xdr:to>
    <xdr:sp>
      <xdr:nvSpPr>
        <xdr:cNvPr id="4" name="Polygon 157"/>
        <xdr:cNvSpPr>
          <a:spLocks/>
        </xdr:cNvSpPr>
      </xdr:nvSpPr>
      <xdr:spPr>
        <a:xfrm>
          <a:off x="866775" y="9077325"/>
          <a:ext cx="3619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114300</xdr:rowOff>
    </xdr:from>
    <xdr:to>
      <xdr:col>1</xdr:col>
      <xdr:colOff>695325</xdr:colOff>
      <xdr:row>46</xdr:row>
      <xdr:rowOff>57150</xdr:rowOff>
    </xdr:to>
    <xdr:sp>
      <xdr:nvSpPr>
        <xdr:cNvPr id="5" name="Polygon 158"/>
        <xdr:cNvSpPr>
          <a:spLocks/>
        </xdr:cNvSpPr>
      </xdr:nvSpPr>
      <xdr:spPr>
        <a:xfrm>
          <a:off x="1085850" y="8610600"/>
          <a:ext cx="371475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28575</xdr:rowOff>
    </xdr:from>
    <xdr:to>
      <xdr:col>1</xdr:col>
      <xdr:colOff>866775</xdr:colOff>
      <xdr:row>43</xdr:row>
      <xdr:rowOff>133350</xdr:rowOff>
    </xdr:to>
    <xdr:sp>
      <xdr:nvSpPr>
        <xdr:cNvPr id="6" name="Polygon 159"/>
        <xdr:cNvSpPr>
          <a:spLocks/>
        </xdr:cNvSpPr>
      </xdr:nvSpPr>
      <xdr:spPr>
        <a:xfrm>
          <a:off x="1266825" y="8172450"/>
          <a:ext cx="361950" cy="104775"/>
        </a:xfrm>
        <a:custGeom>
          <a:pathLst>
            <a:path h="11" w="42">
              <a:moveTo>
                <a:pt x="0" y="11"/>
              </a:moveTo>
              <a:lnTo>
                <a:pt x="5" y="0"/>
              </a:lnTo>
              <a:lnTo>
                <a:pt x="42" y="0"/>
              </a:lnTo>
              <a:lnTo>
                <a:pt x="41" y="11"/>
              </a:lnTo>
              <a:lnTo>
                <a:pt x="0" y="1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41</xdr:row>
      <xdr:rowOff>0</xdr:rowOff>
    </xdr:from>
    <xdr:to>
      <xdr:col>1</xdr:col>
      <xdr:colOff>723900</xdr:colOff>
      <xdr:row>54</xdr:row>
      <xdr:rowOff>19050</xdr:rowOff>
    </xdr:to>
    <xdr:sp>
      <xdr:nvSpPr>
        <xdr:cNvPr id="7" name="Polygon 149"/>
        <xdr:cNvSpPr>
          <a:spLocks/>
        </xdr:cNvSpPr>
      </xdr:nvSpPr>
      <xdr:spPr>
        <a:xfrm>
          <a:off x="390525" y="7820025"/>
          <a:ext cx="1095375" cy="2200275"/>
        </a:xfrm>
        <a:custGeom>
          <a:pathLst>
            <a:path h="223" w="110">
              <a:moveTo>
                <a:pt x="0" y="222"/>
              </a:moveTo>
              <a:lnTo>
                <a:pt x="98" y="0"/>
              </a:lnTo>
              <a:lnTo>
                <a:pt x="110" y="0"/>
              </a:lnTo>
              <a:lnTo>
                <a:pt x="12" y="223"/>
              </a:lnTo>
              <a:lnTo>
                <a:pt x="0" y="22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9525</xdr:rowOff>
    </xdr:from>
    <xdr:to>
      <xdr:col>1</xdr:col>
      <xdr:colOff>257175</xdr:colOff>
      <xdr:row>55</xdr:row>
      <xdr:rowOff>9525</xdr:rowOff>
    </xdr:to>
    <xdr:sp>
      <xdr:nvSpPr>
        <xdr:cNvPr id="8" name="Polygon 152"/>
        <xdr:cNvSpPr>
          <a:spLocks/>
        </xdr:cNvSpPr>
      </xdr:nvSpPr>
      <xdr:spPr>
        <a:xfrm>
          <a:off x="200025" y="10010775"/>
          <a:ext cx="819150" cy="1905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54</xdr:row>
      <xdr:rowOff>9525</xdr:rowOff>
    </xdr:from>
    <xdr:to>
      <xdr:col>0</xdr:col>
      <xdr:colOff>400050</xdr:colOff>
      <xdr:row>55</xdr:row>
      <xdr:rowOff>9525</xdr:rowOff>
    </xdr:to>
    <xdr:sp>
      <xdr:nvSpPr>
        <xdr:cNvPr id="9" name="Polygon 153"/>
        <xdr:cNvSpPr>
          <a:spLocks/>
        </xdr:cNvSpPr>
      </xdr:nvSpPr>
      <xdr:spPr>
        <a:xfrm>
          <a:off x="200025" y="10010775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9525</xdr:rowOff>
    </xdr:from>
    <xdr:to>
      <xdr:col>1</xdr:col>
      <xdr:colOff>247650</xdr:colOff>
      <xdr:row>55</xdr:row>
      <xdr:rowOff>9525</xdr:rowOff>
    </xdr:to>
    <xdr:sp>
      <xdr:nvSpPr>
        <xdr:cNvPr id="10" name="Polygon 154"/>
        <xdr:cNvSpPr>
          <a:spLocks/>
        </xdr:cNvSpPr>
      </xdr:nvSpPr>
      <xdr:spPr>
        <a:xfrm>
          <a:off x="809625" y="10010775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9525</xdr:rowOff>
    </xdr:from>
    <xdr:to>
      <xdr:col>2</xdr:col>
      <xdr:colOff>285750</xdr:colOff>
      <xdr:row>41</xdr:row>
      <xdr:rowOff>9525</xdr:rowOff>
    </xdr:to>
    <xdr:sp>
      <xdr:nvSpPr>
        <xdr:cNvPr id="11" name="Polygon 160"/>
        <xdr:cNvSpPr>
          <a:spLocks/>
        </xdr:cNvSpPr>
      </xdr:nvSpPr>
      <xdr:spPr>
        <a:xfrm>
          <a:off x="1143000" y="7639050"/>
          <a:ext cx="819150" cy="1905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9525</xdr:rowOff>
    </xdr:from>
    <xdr:to>
      <xdr:col>1</xdr:col>
      <xdr:colOff>581025</xdr:colOff>
      <xdr:row>41</xdr:row>
      <xdr:rowOff>9525</xdr:rowOff>
    </xdr:to>
    <xdr:sp>
      <xdr:nvSpPr>
        <xdr:cNvPr id="12" name="Polygon 161"/>
        <xdr:cNvSpPr>
          <a:spLocks/>
        </xdr:cNvSpPr>
      </xdr:nvSpPr>
      <xdr:spPr>
        <a:xfrm>
          <a:off x="1143000" y="763905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9525</xdr:rowOff>
    </xdr:from>
    <xdr:to>
      <xdr:col>2</xdr:col>
      <xdr:colOff>276225</xdr:colOff>
      <xdr:row>41</xdr:row>
      <xdr:rowOff>9525</xdr:rowOff>
    </xdr:to>
    <xdr:sp>
      <xdr:nvSpPr>
        <xdr:cNvPr id="13" name="Polygon 162"/>
        <xdr:cNvSpPr>
          <a:spLocks/>
        </xdr:cNvSpPr>
      </xdr:nvSpPr>
      <xdr:spPr>
        <a:xfrm>
          <a:off x="1752600" y="7639050"/>
          <a:ext cx="200025" cy="190500"/>
        </a:xfrm>
        <a:custGeom>
          <a:pathLst>
            <a:path h="17" w="21">
              <a:moveTo>
                <a:pt x="0" y="0"/>
              </a:moveTo>
              <a:lnTo>
                <a:pt x="21" y="0"/>
              </a:lnTo>
              <a:lnTo>
                <a:pt x="21" y="17"/>
              </a:lnTo>
              <a:lnTo>
                <a:pt x="0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80</xdr:row>
      <xdr:rowOff>9525</xdr:rowOff>
    </xdr:from>
    <xdr:to>
      <xdr:col>2</xdr:col>
      <xdr:colOff>771525</xdr:colOff>
      <xdr:row>81</xdr:row>
      <xdr:rowOff>28575</xdr:rowOff>
    </xdr:to>
    <xdr:sp>
      <xdr:nvSpPr>
        <xdr:cNvPr id="14" name="Polygon 172"/>
        <xdr:cNvSpPr>
          <a:spLocks/>
        </xdr:cNvSpPr>
      </xdr:nvSpPr>
      <xdr:spPr>
        <a:xfrm>
          <a:off x="104775" y="14563725"/>
          <a:ext cx="2343150" cy="20955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66</xdr:row>
      <xdr:rowOff>9525</xdr:rowOff>
    </xdr:from>
    <xdr:to>
      <xdr:col>2</xdr:col>
      <xdr:colOff>800100</xdr:colOff>
      <xdr:row>66</xdr:row>
      <xdr:rowOff>161925</xdr:rowOff>
    </xdr:to>
    <xdr:sp>
      <xdr:nvSpPr>
        <xdr:cNvPr id="15" name="Polygon 175"/>
        <xdr:cNvSpPr>
          <a:spLocks/>
        </xdr:cNvSpPr>
      </xdr:nvSpPr>
      <xdr:spPr>
        <a:xfrm>
          <a:off x="38100" y="12192000"/>
          <a:ext cx="2438400" cy="152400"/>
        </a:xfrm>
        <a:custGeom>
          <a:pathLst>
            <a:path h="17" w="92">
              <a:moveTo>
                <a:pt x="0" y="0"/>
              </a:moveTo>
              <a:lnTo>
                <a:pt x="92" y="0"/>
              </a:lnTo>
              <a:lnTo>
                <a:pt x="92" y="17"/>
              </a:lnTo>
              <a:lnTo>
                <a:pt x="1" y="17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66</xdr:row>
      <xdr:rowOff>171450</xdr:rowOff>
    </xdr:from>
    <xdr:to>
      <xdr:col>2</xdr:col>
      <xdr:colOff>800100</xdr:colOff>
      <xdr:row>80</xdr:row>
      <xdr:rowOff>9525</xdr:rowOff>
    </xdr:to>
    <xdr:sp>
      <xdr:nvSpPr>
        <xdr:cNvPr id="16" name="Rectangle 180"/>
        <xdr:cNvSpPr>
          <a:spLocks/>
        </xdr:cNvSpPr>
      </xdr:nvSpPr>
      <xdr:spPr>
        <a:xfrm>
          <a:off x="819150" y="12353925"/>
          <a:ext cx="1657350" cy="22098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69</xdr:row>
      <xdr:rowOff>66675</xdr:rowOff>
    </xdr:from>
    <xdr:to>
      <xdr:col>1</xdr:col>
      <xdr:colOff>57150</xdr:colOff>
      <xdr:row>69</xdr:row>
      <xdr:rowOff>171450</xdr:rowOff>
    </xdr:to>
    <xdr:sp>
      <xdr:nvSpPr>
        <xdr:cNvPr id="17" name="Rectangle 183"/>
        <xdr:cNvSpPr>
          <a:spLocks/>
        </xdr:cNvSpPr>
      </xdr:nvSpPr>
      <xdr:spPr>
        <a:xfrm>
          <a:off x="409575" y="12763500"/>
          <a:ext cx="4095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72</xdr:row>
      <xdr:rowOff>9525</xdr:rowOff>
    </xdr:from>
    <xdr:to>
      <xdr:col>1</xdr:col>
      <xdr:colOff>66675</xdr:colOff>
      <xdr:row>72</xdr:row>
      <xdr:rowOff>114300</xdr:rowOff>
    </xdr:to>
    <xdr:sp>
      <xdr:nvSpPr>
        <xdr:cNvPr id="18" name="Rectangle 182"/>
        <xdr:cNvSpPr>
          <a:spLocks/>
        </xdr:cNvSpPr>
      </xdr:nvSpPr>
      <xdr:spPr>
        <a:xfrm>
          <a:off x="409575" y="13220700"/>
          <a:ext cx="4191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74</xdr:row>
      <xdr:rowOff>142875</xdr:rowOff>
    </xdr:from>
    <xdr:to>
      <xdr:col>1</xdr:col>
      <xdr:colOff>57150</xdr:colOff>
      <xdr:row>75</xdr:row>
      <xdr:rowOff>85725</xdr:rowOff>
    </xdr:to>
    <xdr:sp>
      <xdr:nvSpPr>
        <xdr:cNvPr id="19" name="Rectangle 181"/>
        <xdr:cNvSpPr>
          <a:spLocks/>
        </xdr:cNvSpPr>
      </xdr:nvSpPr>
      <xdr:spPr>
        <a:xfrm>
          <a:off x="409575" y="13677900"/>
          <a:ext cx="4095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77</xdr:row>
      <xdr:rowOff>104775</xdr:rowOff>
    </xdr:from>
    <xdr:to>
      <xdr:col>1</xdr:col>
      <xdr:colOff>66675</xdr:colOff>
      <xdr:row>78</xdr:row>
      <xdr:rowOff>38100</xdr:rowOff>
    </xdr:to>
    <xdr:sp>
      <xdr:nvSpPr>
        <xdr:cNvPr id="20" name="Rectangle 179"/>
        <xdr:cNvSpPr>
          <a:spLocks/>
        </xdr:cNvSpPr>
      </xdr:nvSpPr>
      <xdr:spPr>
        <a:xfrm>
          <a:off x="409575" y="14125575"/>
          <a:ext cx="4191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21</xdr:row>
      <xdr:rowOff>123825</xdr:rowOff>
    </xdr:from>
    <xdr:to>
      <xdr:col>2</xdr:col>
      <xdr:colOff>752475</xdr:colOff>
      <xdr:row>25</xdr:row>
      <xdr:rowOff>57150</xdr:rowOff>
    </xdr:to>
    <xdr:grpSp>
      <xdr:nvGrpSpPr>
        <xdr:cNvPr id="21" name="Group 222"/>
        <xdr:cNvGrpSpPr>
          <a:grpSpLocks/>
        </xdr:cNvGrpSpPr>
      </xdr:nvGrpSpPr>
      <xdr:grpSpPr>
        <a:xfrm>
          <a:off x="123825" y="4219575"/>
          <a:ext cx="2305050" cy="581025"/>
          <a:chOff x="7" y="386"/>
          <a:chExt cx="242" cy="61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7" y="386"/>
            <a:ext cx="242" cy="61"/>
            <a:chOff x="7" y="386"/>
            <a:chExt cx="242" cy="61"/>
          </a:xfrm>
          <a:solidFill>
            <a:srgbClr val="FFFFFF"/>
          </a:solidFill>
        </xdr:grpSpPr>
        <xdr:sp>
          <xdr:nvSpPr>
            <xdr:cNvPr id="23" name="Polygon 224"/>
            <xdr:cNvSpPr>
              <a:spLocks/>
            </xdr:cNvSpPr>
          </xdr:nvSpPr>
          <xdr:spPr>
            <a:xfrm>
              <a:off x="8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25"/>
            <xdr:cNvSpPr>
              <a:spLocks/>
            </xdr:cNvSpPr>
          </xdr:nvSpPr>
          <xdr:spPr>
            <a:xfrm>
              <a:off x="8" y="446"/>
              <a:ext cx="24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Polygon 226"/>
            <xdr:cNvSpPr>
              <a:spLocks/>
            </xdr:cNvSpPr>
          </xdr:nvSpPr>
          <xdr:spPr>
            <a:xfrm>
              <a:off x="65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Polygon 227"/>
            <xdr:cNvSpPr>
              <a:spLocks/>
            </xdr:cNvSpPr>
          </xdr:nvSpPr>
          <xdr:spPr>
            <a:xfrm>
              <a:off x="121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Polygon 228"/>
            <xdr:cNvSpPr>
              <a:spLocks/>
            </xdr:cNvSpPr>
          </xdr:nvSpPr>
          <xdr:spPr>
            <a:xfrm>
              <a:off x="177" y="434"/>
              <a:ext cx="13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29"/>
            <xdr:cNvSpPr>
              <a:spLocks/>
            </xdr:cNvSpPr>
          </xdr:nvSpPr>
          <xdr:spPr>
            <a:xfrm>
              <a:off x="7" y="433"/>
              <a:ext cx="24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Polygon 230"/>
            <xdr:cNvSpPr>
              <a:spLocks/>
            </xdr:cNvSpPr>
          </xdr:nvSpPr>
          <xdr:spPr>
            <a:xfrm>
              <a:off x="234" y="434"/>
              <a:ext cx="12" cy="12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231"/>
            <xdr:cNvSpPr>
              <a:spLocks/>
            </xdr:cNvSpPr>
          </xdr:nvSpPr>
          <xdr:spPr>
            <a:xfrm>
              <a:off x="7" y="386"/>
              <a:ext cx="1" cy="49"/>
            </a:xfrm>
            <a:custGeom>
              <a:pathLst>
                <a:path h="49" w="1">
                  <a:moveTo>
                    <a:pt x="0" y="49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232"/>
            <xdr:cNvSpPr>
              <a:spLocks/>
            </xdr:cNvSpPr>
          </xdr:nvSpPr>
          <xdr:spPr>
            <a:xfrm flipH="1" flipV="1">
              <a:off x="245" y="389"/>
              <a:ext cx="0" cy="4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233"/>
            <xdr:cNvSpPr>
              <a:spLocks/>
            </xdr:cNvSpPr>
          </xdr:nvSpPr>
          <xdr:spPr>
            <a:xfrm>
              <a:off x="20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234"/>
            <xdr:cNvSpPr>
              <a:spLocks/>
            </xdr:cNvSpPr>
          </xdr:nvSpPr>
          <xdr:spPr>
            <a:xfrm>
              <a:off x="77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235"/>
            <xdr:cNvSpPr>
              <a:spLocks/>
            </xdr:cNvSpPr>
          </xdr:nvSpPr>
          <xdr:spPr>
            <a:xfrm>
              <a:off x="134" y="431"/>
              <a:ext cx="43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236"/>
            <xdr:cNvSpPr>
              <a:spLocks/>
            </xdr:cNvSpPr>
          </xdr:nvSpPr>
          <xdr:spPr>
            <a:xfrm>
              <a:off x="189" y="431"/>
              <a:ext cx="44" cy="16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Line 237"/>
          <xdr:cNvSpPr>
            <a:spLocks/>
          </xdr:cNvSpPr>
        </xdr:nvSpPr>
        <xdr:spPr>
          <a:xfrm>
            <a:off x="72" y="416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238"/>
          <xdr:cNvSpPr>
            <a:spLocks/>
          </xdr:cNvSpPr>
        </xdr:nvSpPr>
        <xdr:spPr>
          <a:xfrm>
            <a:off x="72" y="409"/>
            <a:ext cx="1" cy="25"/>
          </a:xfrm>
          <a:custGeom>
            <a:pathLst>
              <a:path h="25" w="1">
                <a:moveTo>
                  <a:pt x="0" y="25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239"/>
          <xdr:cNvSpPr>
            <a:spLocks/>
          </xdr:cNvSpPr>
        </xdr:nvSpPr>
        <xdr:spPr>
          <a:xfrm flipV="1">
            <a:off x="128" y="4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240"/>
          <xdr:cNvSpPr>
            <a:spLocks/>
          </xdr:cNvSpPr>
        </xdr:nvSpPr>
        <xdr:spPr>
          <a:xfrm>
            <a:off x="64" y="392"/>
            <a:ext cx="7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Spacing</a:t>
            </a:r>
          </a:p>
        </xdr:txBody>
      </xdr:sp>
    </xdr:grpSp>
    <xdr:clientData/>
  </xdr:twoCellAnchor>
  <xdr:twoCellAnchor>
    <xdr:from>
      <xdr:col>3</xdr:col>
      <xdr:colOff>228600</xdr:colOff>
      <xdr:row>22</xdr:row>
      <xdr:rowOff>28575</xdr:rowOff>
    </xdr:from>
    <xdr:to>
      <xdr:col>5</xdr:col>
      <xdr:colOff>800100</xdr:colOff>
      <xdr:row>25</xdr:row>
      <xdr:rowOff>76200</xdr:rowOff>
    </xdr:to>
    <xdr:grpSp>
      <xdr:nvGrpSpPr>
        <xdr:cNvPr id="40" name="Group 241"/>
        <xdr:cNvGrpSpPr>
          <a:grpSpLocks/>
        </xdr:cNvGrpSpPr>
      </xdr:nvGrpSpPr>
      <xdr:grpSpPr>
        <a:xfrm>
          <a:off x="2800350" y="4286250"/>
          <a:ext cx="2495550" cy="533400"/>
          <a:chOff x="281" y="393"/>
          <a:chExt cx="262" cy="56"/>
        </a:xfrm>
        <a:solidFill>
          <a:srgbClr val="FFFFFF"/>
        </a:solidFill>
      </xdr:grpSpPr>
      <xdr:grpSp>
        <xdr:nvGrpSpPr>
          <xdr:cNvPr id="41" name="Group 242"/>
          <xdr:cNvGrpSpPr>
            <a:grpSpLocks/>
          </xdr:cNvGrpSpPr>
        </xdr:nvGrpSpPr>
        <xdr:grpSpPr>
          <a:xfrm>
            <a:off x="281" y="411"/>
            <a:ext cx="262" cy="38"/>
            <a:chOff x="281" y="411"/>
            <a:chExt cx="262" cy="38"/>
          </a:xfrm>
          <a:solidFill>
            <a:srgbClr val="FFFFFF"/>
          </a:solidFill>
        </xdr:grpSpPr>
        <xdr:sp>
          <xdr:nvSpPr>
            <xdr:cNvPr id="42" name="Line 243"/>
            <xdr:cNvSpPr>
              <a:spLocks/>
            </xdr:cNvSpPr>
          </xdr:nvSpPr>
          <xdr:spPr>
            <a:xfrm flipV="1">
              <a:off x="282" y="447"/>
              <a:ext cx="261" cy="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Polygon 244"/>
            <xdr:cNvSpPr>
              <a:spLocks/>
            </xdr:cNvSpPr>
          </xdr:nvSpPr>
          <xdr:spPr>
            <a:xfrm>
              <a:off x="320" y="436"/>
              <a:ext cx="19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Polygon 245"/>
            <xdr:cNvSpPr>
              <a:spLocks/>
            </xdr:cNvSpPr>
          </xdr:nvSpPr>
          <xdr:spPr>
            <a:xfrm>
              <a:off x="406" y="435"/>
              <a:ext cx="19" cy="14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Polygon 246"/>
            <xdr:cNvSpPr>
              <a:spLocks/>
            </xdr:cNvSpPr>
          </xdr:nvSpPr>
          <xdr:spPr>
            <a:xfrm>
              <a:off x="492" y="435"/>
              <a:ext cx="19" cy="14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47"/>
            <xdr:cNvSpPr>
              <a:spLocks/>
            </xdr:cNvSpPr>
          </xdr:nvSpPr>
          <xdr:spPr>
            <a:xfrm>
              <a:off x="281" y="435"/>
              <a:ext cx="25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248"/>
            <xdr:cNvSpPr>
              <a:spLocks/>
            </xdr:cNvSpPr>
          </xdr:nvSpPr>
          <xdr:spPr>
            <a:xfrm>
              <a:off x="285" y="411"/>
              <a:ext cx="1" cy="22"/>
            </a:xfrm>
            <a:custGeom>
              <a:pathLst>
                <a:path h="22" w="1">
                  <a:moveTo>
                    <a:pt x="0" y="22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249"/>
            <xdr:cNvSpPr>
              <a:spLocks/>
            </xdr:cNvSpPr>
          </xdr:nvSpPr>
          <xdr:spPr>
            <a:xfrm>
              <a:off x="541" y="413"/>
              <a:ext cx="1" cy="21"/>
            </a:xfrm>
            <a:custGeom>
              <a:pathLst>
                <a:path h="21" w="1">
                  <a:moveTo>
                    <a:pt x="0" y="21"/>
                  </a:move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250"/>
            <xdr:cNvSpPr>
              <a:spLocks/>
            </xdr:cNvSpPr>
          </xdr:nvSpPr>
          <xdr:spPr>
            <a:xfrm>
              <a:off x="338" y="432"/>
              <a:ext cx="67" cy="17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251"/>
            <xdr:cNvSpPr>
              <a:spLocks/>
            </xdr:cNvSpPr>
          </xdr:nvSpPr>
          <xdr:spPr>
            <a:xfrm>
              <a:off x="425" y="432"/>
              <a:ext cx="67" cy="17"/>
            </a:xfrm>
            <a:prstGeom prst="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252"/>
            <xdr:cNvSpPr>
              <a:spLocks/>
            </xdr:cNvSpPr>
          </xdr:nvSpPr>
          <xdr:spPr>
            <a:xfrm>
              <a:off x="284" y="433"/>
              <a:ext cx="37" cy="16"/>
            </a:xfrm>
            <a:prstGeom prst="rt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253"/>
            <xdr:cNvSpPr>
              <a:spLocks/>
            </xdr:cNvSpPr>
          </xdr:nvSpPr>
          <xdr:spPr>
            <a:xfrm flipH="1">
              <a:off x="511" y="432"/>
              <a:ext cx="31" cy="17"/>
            </a:xfrm>
            <a:prstGeom prst="rtTriangle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3" name="AutoShape 254"/>
          <xdr:cNvSpPr>
            <a:spLocks/>
          </xdr:cNvSpPr>
        </xdr:nvSpPr>
        <xdr:spPr>
          <a:xfrm>
            <a:off x="330" y="417"/>
            <a:ext cx="85" cy="1"/>
          </a:xfrm>
          <a:custGeom>
            <a:pathLst>
              <a:path h="1" w="85">
                <a:moveTo>
                  <a:pt x="0" y="0"/>
                </a:moveTo>
                <a:lnTo>
                  <a:pt x="85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255"/>
          <xdr:cNvSpPr>
            <a:spLocks/>
          </xdr:cNvSpPr>
        </xdr:nvSpPr>
        <xdr:spPr>
          <a:xfrm>
            <a:off x="330" y="417"/>
            <a:ext cx="1" cy="18"/>
          </a:xfrm>
          <a:custGeom>
            <a:pathLst>
              <a:path h="18" w="1">
                <a:moveTo>
                  <a:pt x="0" y="18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256"/>
          <xdr:cNvSpPr>
            <a:spLocks/>
          </xdr:cNvSpPr>
        </xdr:nvSpPr>
        <xdr:spPr>
          <a:xfrm>
            <a:off x="415" y="413"/>
            <a:ext cx="1" cy="22"/>
          </a:xfrm>
          <a:custGeom>
            <a:pathLst>
              <a:path h="22" w="1">
                <a:moveTo>
                  <a:pt x="0" y="2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257"/>
          <xdr:cNvSpPr>
            <a:spLocks/>
          </xdr:cNvSpPr>
        </xdr:nvSpPr>
        <xdr:spPr>
          <a:xfrm>
            <a:off x="336" y="393"/>
            <a:ext cx="99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Spacing</a:t>
            </a:r>
          </a:p>
        </xdr:txBody>
      </xdr:sp>
    </xdr:grpSp>
    <xdr:clientData/>
  </xdr:twoCellAnchor>
  <xdr:twoCellAnchor>
    <xdr:from>
      <xdr:col>6</xdr:col>
      <xdr:colOff>161925</xdr:colOff>
      <xdr:row>21</xdr:row>
      <xdr:rowOff>123825</xdr:rowOff>
    </xdr:from>
    <xdr:to>
      <xdr:col>8</xdr:col>
      <xdr:colOff>762000</xdr:colOff>
      <xdr:row>25</xdr:row>
      <xdr:rowOff>85725</xdr:rowOff>
    </xdr:to>
    <xdr:grpSp>
      <xdr:nvGrpSpPr>
        <xdr:cNvPr id="57" name="Group 258"/>
        <xdr:cNvGrpSpPr>
          <a:grpSpLocks/>
        </xdr:cNvGrpSpPr>
      </xdr:nvGrpSpPr>
      <xdr:grpSpPr>
        <a:xfrm>
          <a:off x="5753100" y="4219575"/>
          <a:ext cx="2333625" cy="609600"/>
          <a:chOff x="589" y="386"/>
          <a:chExt cx="245" cy="64"/>
        </a:xfrm>
        <a:solidFill>
          <a:srgbClr val="FFFFFF"/>
        </a:solidFill>
      </xdr:grpSpPr>
      <xdr:sp>
        <xdr:nvSpPr>
          <xdr:cNvPr id="58" name="Polygon 259"/>
          <xdr:cNvSpPr>
            <a:spLocks/>
          </xdr:cNvSpPr>
        </xdr:nvSpPr>
        <xdr:spPr>
          <a:xfrm>
            <a:off x="590" y="436"/>
            <a:ext cx="15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60"/>
          <xdr:cNvSpPr>
            <a:spLocks/>
          </xdr:cNvSpPr>
        </xdr:nvSpPr>
        <xdr:spPr>
          <a:xfrm>
            <a:off x="590" y="449"/>
            <a:ext cx="24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Polygon 261"/>
          <xdr:cNvSpPr>
            <a:spLocks/>
          </xdr:cNvSpPr>
        </xdr:nvSpPr>
        <xdr:spPr>
          <a:xfrm>
            <a:off x="658" y="436"/>
            <a:ext cx="16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Polygon 262"/>
          <xdr:cNvSpPr>
            <a:spLocks/>
          </xdr:cNvSpPr>
        </xdr:nvSpPr>
        <xdr:spPr>
          <a:xfrm>
            <a:off x="725" y="436"/>
            <a:ext cx="15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Polygon 263"/>
          <xdr:cNvSpPr>
            <a:spLocks/>
          </xdr:cNvSpPr>
        </xdr:nvSpPr>
        <xdr:spPr>
          <a:xfrm>
            <a:off x="793" y="436"/>
            <a:ext cx="14" cy="14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264"/>
          <xdr:cNvSpPr>
            <a:spLocks/>
          </xdr:cNvSpPr>
        </xdr:nvSpPr>
        <xdr:spPr>
          <a:xfrm>
            <a:off x="589" y="435"/>
            <a:ext cx="2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265"/>
          <xdr:cNvSpPr>
            <a:spLocks/>
          </xdr:cNvSpPr>
        </xdr:nvSpPr>
        <xdr:spPr>
          <a:xfrm>
            <a:off x="589" y="386"/>
            <a:ext cx="1" cy="52"/>
          </a:xfrm>
          <a:custGeom>
            <a:pathLst>
              <a:path h="52" w="1">
                <a:moveTo>
                  <a:pt x="0" y="52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266"/>
          <xdr:cNvSpPr>
            <a:spLocks/>
          </xdr:cNvSpPr>
        </xdr:nvSpPr>
        <xdr:spPr>
          <a:xfrm>
            <a:off x="833" y="393"/>
            <a:ext cx="1" cy="45"/>
          </a:xfrm>
          <a:custGeom>
            <a:pathLst>
              <a:path h="45" w="1">
                <a:moveTo>
                  <a:pt x="0" y="45"/>
                </a:move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267"/>
          <xdr:cNvSpPr>
            <a:spLocks/>
          </xdr:cNvSpPr>
        </xdr:nvSpPr>
        <xdr:spPr>
          <a:xfrm>
            <a:off x="604" y="432"/>
            <a:ext cx="53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268"/>
          <xdr:cNvSpPr>
            <a:spLocks/>
          </xdr:cNvSpPr>
        </xdr:nvSpPr>
        <xdr:spPr>
          <a:xfrm>
            <a:off x="673" y="432"/>
            <a:ext cx="51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269"/>
          <xdr:cNvSpPr>
            <a:spLocks/>
          </xdr:cNvSpPr>
        </xdr:nvSpPr>
        <xdr:spPr>
          <a:xfrm>
            <a:off x="740" y="432"/>
            <a:ext cx="53" cy="18"/>
          </a:xfrm>
          <a:prstGeom prst="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270"/>
          <xdr:cNvSpPr>
            <a:spLocks/>
          </xdr:cNvSpPr>
        </xdr:nvSpPr>
        <xdr:spPr>
          <a:xfrm flipH="1">
            <a:off x="808" y="432"/>
            <a:ext cx="25" cy="17"/>
          </a:xfrm>
          <a:prstGeom prst="rtTriangl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71"/>
          <xdr:cNvSpPr>
            <a:spLocks/>
          </xdr:cNvSpPr>
        </xdr:nvSpPr>
        <xdr:spPr>
          <a:xfrm>
            <a:off x="733" y="416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72"/>
          <xdr:cNvSpPr>
            <a:spLocks/>
          </xdr:cNvSpPr>
        </xdr:nvSpPr>
        <xdr:spPr>
          <a:xfrm flipV="1">
            <a:off x="733" y="41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273"/>
          <xdr:cNvSpPr>
            <a:spLocks/>
          </xdr:cNvSpPr>
        </xdr:nvSpPr>
        <xdr:spPr>
          <a:xfrm flipV="1">
            <a:off x="799" y="4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274"/>
          <xdr:cNvSpPr>
            <a:spLocks/>
          </xdr:cNvSpPr>
        </xdr:nvSpPr>
        <xdr:spPr>
          <a:xfrm>
            <a:off x="724" y="392"/>
            <a:ext cx="9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Spacing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</xdr:row>
      <xdr:rowOff>76200</xdr:rowOff>
    </xdr:from>
    <xdr:to>
      <xdr:col>8</xdr:col>
      <xdr:colOff>200025</xdr:colOff>
      <xdr:row>20</xdr:row>
      <xdr:rowOff>66675</xdr:rowOff>
    </xdr:to>
    <xdr:grpSp>
      <xdr:nvGrpSpPr>
        <xdr:cNvPr id="1" name="Group 224"/>
        <xdr:cNvGrpSpPr>
          <a:grpSpLocks/>
        </xdr:cNvGrpSpPr>
      </xdr:nvGrpSpPr>
      <xdr:grpSpPr>
        <a:xfrm>
          <a:off x="381000" y="561975"/>
          <a:ext cx="5915025" cy="2743200"/>
          <a:chOff x="40" y="59"/>
          <a:chExt cx="621" cy="288"/>
        </a:xfrm>
        <a:solidFill>
          <a:srgbClr val="FFFFFF"/>
        </a:solidFill>
      </xdr:grpSpPr>
      <xdr:sp>
        <xdr:nvSpPr>
          <xdr:cNvPr id="2" name="Rectangle 210"/>
          <xdr:cNvSpPr>
            <a:spLocks/>
          </xdr:cNvSpPr>
        </xdr:nvSpPr>
        <xdr:spPr>
          <a:xfrm>
            <a:off x="59" y="100"/>
            <a:ext cx="426" cy="1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3rd drilling level or UPPER LEVEL</a:t>
            </a:r>
          </a:p>
        </xdr:txBody>
      </xdr:sp>
      <xdr:sp>
        <xdr:nvSpPr>
          <xdr:cNvPr id="3" name="Rectangle 211"/>
          <xdr:cNvSpPr>
            <a:spLocks/>
          </xdr:cNvSpPr>
        </xdr:nvSpPr>
        <xdr:spPr>
          <a:xfrm>
            <a:off x="59" y="175"/>
            <a:ext cx="426" cy="20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2nd drilling sub-level</a:t>
            </a:r>
          </a:p>
        </xdr:txBody>
      </xdr:sp>
      <xdr:sp>
        <xdr:nvSpPr>
          <xdr:cNvPr id="4" name="Rectangle 212"/>
          <xdr:cNvSpPr>
            <a:spLocks/>
          </xdr:cNvSpPr>
        </xdr:nvSpPr>
        <xdr:spPr>
          <a:xfrm>
            <a:off x="64" y="253"/>
            <a:ext cx="426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1st drilling sub-level</a:t>
            </a:r>
          </a:p>
        </xdr:txBody>
      </xdr:sp>
      <xdr:sp>
        <xdr:nvSpPr>
          <xdr:cNvPr id="5" name="Rectangle 213"/>
          <xdr:cNvSpPr>
            <a:spLocks/>
          </xdr:cNvSpPr>
        </xdr:nvSpPr>
        <xdr:spPr>
          <a:xfrm>
            <a:off x="461" y="115"/>
            <a:ext cx="16" cy="60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14"/>
          <xdr:cNvSpPr>
            <a:spLocks/>
          </xdr:cNvSpPr>
        </xdr:nvSpPr>
        <xdr:spPr>
          <a:xfrm>
            <a:off x="459" y="196"/>
            <a:ext cx="16" cy="56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15"/>
          <xdr:cNvSpPr>
            <a:spLocks/>
          </xdr:cNvSpPr>
        </xdr:nvSpPr>
        <xdr:spPr>
          <a:xfrm>
            <a:off x="459" y="272"/>
            <a:ext cx="16" cy="69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216"/>
          <xdr:cNvSpPr txBox="1">
            <a:spLocks noChangeArrowheads="1"/>
          </xdr:cNvSpPr>
        </xdr:nvSpPr>
        <xdr:spPr>
          <a:xfrm>
            <a:off x="561" y="206"/>
            <a:ext cx="100" cy="36"/>
          </a:xfrm>
          <a:prstGeom prst="rect">
            <a:avLst/>
          </a:prstGeom>
          <a:solidFill>
            <a:srgbClr val="FF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Drop raises</a:t>
            </a:r>
          </a:p>
        </xdr:txBody>
      </xdr:sp>
      <xdr:sp>
        <xdr:nvSpPr>
          <xdr:cNvPr id="9" name="AutoShape 217"/>
          <xdr:cNvSpPr>
            <a:spLocks/>
          </xdr:cNvSpPr>
        </xdr:nvSpPr>
        <xdr:spPr>
          <a:xfrm rot="5400000">
            <a:off x="510" y="207"/>
            <a:ext cx="65" cy="136"/>
          </a:xfrm>
          <a:prstGeom prst="curvedConnector2">
            <a:avLst>
              <a:gd name="adj1" fmla="val -990000"/>
              <a:gd name="adj2" fmla="val -227939"/>
              <a:gd name="adj3" fmla="val -99000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218"/>
          <xdr:cNvSpPr>
            <a:spLocks/>
          </xdr:cNvSpPr>
        </xdr:nvSpPr>
        <xdr:spPr>
          <a:xfrm rot="10800000">
            <a:off x="475" y="224"/>
            <a:ext cx="86" cy="0"/>
          </a:xfrm>
          <a:prstGeom prst="straightConnector1">
            <a:avLst>
              <a:gd name="adj1" fmla="val -702324"/>
              <a:gd name="adj2" fmla="val -50004"/>
              <a:gd name="adj3" fmla="val -702324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219"/>
          <xdr:cNvSpPr>
            <a:spLocks/>
          </xdr:cNvSpPr>
        </xdr:nvSpPr>
        <xdr:spPr>
          <a:xfrm rot="5400000" flipH="1">
            <a:off x="513" y="109"/>
            <a:ext cx="61" cy="134"/>
          </a:xfrm>
          <a:prstGeom prst="curvedConnector2">
            <a:avLst>
              <a:gd name="adj1" fmla="val -1051638"/>
              <a:gd name="adj2" fmla="val 103731"/>
              <a:gd name="adj3" fmla="val -1051638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220"/>
          <xdr:cNvSpPr txBox="1">
            <a:spLocks noChangeArrowheads="1"/>
          </xdr:cNvSpPr>
        </xdr:nvSpPr>
        <xdr:spPr>
          <a:xfrm>
            <a:off x="40" y="59"/>
            <a:ext cx="312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Long-Hole Stope</a:t>
            </a:r>
          </a:p>
        </xdr:txBody>
      </xdr:sp>
      <xdr:sp>
        <xdr:nvSpPr>
          <xdr:cNvPr id="13" name="Rectangle 221"/>
          <xdr:cNvSpPr>
            <a:spLocks/>
          </xdr:cNvSpPr>
        </xdr:nvSpPr>
        <xdr:spPr>
          <a:xfrm>
            <a:off x="64" y="327"/>
            <a:ext cx="426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 LEVEL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3"/>
  <sheetViews>
    <sheetView tabSelected="1" zoomScale="75" zoomScaleNormal="75" workbookViewId="0" topLeftCell="A108">
      <selection activeCell="H122" sqref="H122"/>
    </sheetView>
  </sheetViews>
  <sheetFormatPr defaultColWidth="9.140625" defaultRowHeight="12.75"/>
  <cols>
    <col min="1" max="1" width="20.00390625" style="0" customWidth="1"/>
    <col min="2" max="2" width="11.57421875" style="0" customWidth="1"/>
    <col min="3" max="3" width="15.140625" style="0" customWidth="1"/>
    <col min="4" max="4" width="13.421875" style="0" customWidth="1"/>
    <col min="5" max="5" width="16.00390625" style="0" customWidth="1"/>
    <col min="6" max="6" width="13.57421875" style="0" customWidth="1"/>
    <col min="7" max="7" width="14.8515625" style="0" customWidth="1"/>
    <col min="8" max="8" width="15.421875" style="0" customWidth="1"/>
    <col min="9" max="9" width="15.28125" style="0" customWidth="1"/>
    <col min="10" max="16384" width="11.421875" style="0" customWidth="1"/>
  </cols>
  <sheetData>
    <row r="2" spans="1:6" ht="31.5">
      <c r="A2" s="161" t="s">
        <v>9</v>
      </c>
      <c r="F2" s="159"/>
    </row>
    <row r="3" spans="1:9" ht="13.5" thickBot="1">
      <c r="A3" s="7"/>
      <c r="B3" s="7"/>
      <c r="C3" s="7"/>
      <c r="D3" s="7"/>
      <c r="E3" s="7"/>
      <c r="F3" s="7"/>
      <c r="G3" s="7"/>
      <c r="H3" s="7"/>
      <c r="I3" s="173" t="s">
        <v>198</v>
      </c>
    </row>
    <row r="4" spans="1:9" ht="12.75">
      <c r="A4" s="2"/>
      <c r="B4" s="2"/>
      <c r="C4" s="2"/>
      <c r="D4" s="2"/>
      <c r="E4" s="2"/>
      <c r="F4" s="2"/>
      <c r="G4" s="2"/>
      <c r="H4" s="2"/>
      <c r="I4" s="216"/>
    </row>
    <row r="5" ht="24.75">
      <c r="A5" s="101" t="s">
        <v>10</v>
      </c>
    </row>
    <row r="6" spans="3:6" ht="12.75">
      <c r="C6" s="10"/>
      <c r="D6" s="10"/>
      <c r="E6" s="10"/>
      <c r="F6" s="10"/>
    </row>
    <row r="7" spans="3:6" ht="12.75">
      <c r="C7" s="10"/>
      <c r="D7" s="10"/>
      <c r="E7" s="10"/>
      <c r="F7" s="10"/>
    </row>
    <row r="8" spans="1:6" ht="12.75">
      <c r="A8" s="10" t="s">
        <v>11</v>
      </c>
      <c r="C8" s="206"/>
      <c r="D8" s="10"/>
      <c r="E8" s="10"/>
      <c r="F8" s="10"/>
    </row>
    <row r="9" spans="3:9" ht="12.75" customHeight="1">
      <c r="C9" s="256" t="s">
        <v>14</v>
      </c>
      <c r="H9" s="10"/>
      <c r="I9" s="17" t="s">
        <v>18</v>
      </c>
    </row>
    <row r="10" spans="1:9" ht="12.75">
      <c r="A10" s="18" t="s">
        <v>12</v>
      </c>
      <c r="B10" s="19" t="s">
        <v>13</v>
      </c>
      <c r="C10" s="257"/>
      <c r="D10" s="201" t="s">
        <v>15</v>
      </c>
      <c r="E10" s="258" t="s">
        <v>16</v>
      </c>
      <c r="F10" s="258"/>
      <c r="H10" s="19" t="s">
        <v>17</v>
      </c>
      <c r="I10" s="20" t="s">
        <v>19</v>
      </c>
    </row>
    <row r="11" spans="1:9" ht="12.75">
      <c r="A11" s="66">
        <f>92.5</f>
        <v>92.5</v>
      </c>
      <c r="B11" s="103">
        <v>3</v>
      </c>
      <c r="C11" s="66">
        <v>60</v>
      </c>
      <c r="D11" s="66">
        <v>90</v>
      </c>
      <c r="E11" s="259">
        <f>C11/COS((90-D11)*PI()/180)</f>
        <v>60</v>
      </c>
      <c r="F11" s="259"/>
      <c r="H11" s="66">
        <v>3.75</v>
      </c>
      <c r="I11" s="66">
        <v>1.38</v>
      </c>
    </row>
    <row r="12" spans="1:9" ht="12.75">
      <c r="A12" s="202"/>
      <c r="B12" s="203"/>
      <c r="C12" s="202"/>
      <c r="D12" s="202"/>
      <c r="E12" s="203"/>
      <c r="F12" s="203"/>
      <c r="G12" s="204"/>
      <c r="H12" s="202"/>
      <c r="I12" s="205"/>
    </row>
    <row r="13" spans="1:9" ht="12.75">
      <c r="A13" s="202"/>
      <c r="B13" s="203"/>
      <c r="C13" s="202"/>
      <c r="D13" s="202"/>
      <c r="E13" s="203"/>
      <c r="F13" s="203"/>
      <c r="G13" s="204"/>
      <c r="H13" s="202"/>
      <c r="I13" s="205"/>
    </row>
    <row r="16" spans="1:5" ht="12.75">
      <c r="A16" s="252" t="s">
        <v>21</v>
      </c>
      <c r="B16" s="252"/>
      <c r="C16" s="252" t="s">
        <v>22</v>
      </c>
      <c r="D16" s="252"/>
      <c r="E16" s="252"/>
    </row>
    <row r="17" spans="1:5" ht="12.75">
      <c r="A17" s="160" t="s">
        <v>23</v>
      </c>
      <c r="B17" s="160" t="s">
        <v>24</v>
      </c>
      <c r="C17" s="160" t="s">
        <v>23</v>
      </c>
      <c r="D17" s="160" t="s">
        <v>24</v>
      </c>
      <c r="E17" s="160" t="s">
        <v>25</v>
      </c>
    </row>
    <row r="18" spans="1:5" ht="12.75">
      <c r="A18" s="36">
        <f>+A11*C11*H11*(B11/SIN((D11)*PI()/180))</f>
        <v>62437.5</v>
      </c>
      <c r="B18" s="111">
        <v>4.5</v>
      </c>
      <c r="C18" s="36">
        <f>A18*(1+E18)</f>
        <v>66808.125</v>
      </c>
      <c r="D18" s="22">
        <f>(+A18*B18+A18*E18)/C18</f>
        <v>4.271028037383178</v>
      </c>
      <c r="E18" s="112">
        <v>0.07</v>
      </c>
    </row>
    <row r="23" spans="2:6" ht="12.75">
      <c r="B23" s="23"/>
      <c r="C23" s="24"/>
      <c r="D23" s="23"/>
      <c r="E23" s="24"/>
      <c r="F23" s="25"/>
    </row>
    <row r="24" spans="2:6" ht="12.75">
      <c r="B24" s="23"/>
      <c r="C24" s="24"/>
      <c r="D24" s="23"/>
      <c r="F24" s="26"/>
    </row>
    <row r="28" ht="24.75">
      <c r="A28" s="101" t="s">
        <v>20</v>
      </c>
    </row>
    <row r="29" spans="2:6" ht="12.75">
      <c r="B29" s="23"/>
      <c r="C29" s="24"/>
      <c r="D29" s="23"/>
      <c r="F29" s="26"/>
    </row>
    <row r="30" ht="19.5">
      <c r="A30" s="102" t="s">
        <v>26</v>
      </c>
    </row>
    <row r="31" spans="1:6" ht="19.5">
      <c r="A31" s="102"/>
      <c r="B31" s="23"/>
      <c r="C31" s="24"/>
      <c r="D31" s="23"/>
      <c r="E31" s="24"/>
      <c r="F31" s="25"/>
    </row>
    <row r="32" spans="3:8" ht="15" customHeight="1">
      <c r="C32" s="262" t="s">
        <v>2</v>
      </c>
      <c r="D32" s="262"/>
      <c r="G32" s="285" t="s">
        <v>31</v>
      </c>
      <c r="H32" s="285" t="s">
        <v>32</v>
      </c>
    </row>
    <row r="33" spans="3:8" ht="15" customHeight="1">
      <c r="C33" s="38" t="s">
        <v>27</v>
      </c>
      <c r="D33" s="38" t="s">
        <v>28</v>
      </c>
      <c r="E33" s="46" t="s">
        <v>29</v>
      </c>
      <c r="F33" s="58" t="s">
        <v>30</v>
      </c>
      <c r="G33" s="285"/>
      <c r="H33" s="285"/>
    </row>
    <row r="34" spans="1:8" ht="15">
      <c r="A34" s="47" t="s">
        <v>33</v>
      </c>
      <c r="B34" s="44"/>
      <c r="C34" s="103">
        <v>3.7</v>
      </c>
      <c r="D34" s="103">
        <v>3.2</v>
      </c>
      <c r="E34" s="6">
        <f>C34*D34*2.75</f>
        <v>32.56</v>
      </c>
      <c r="F34" s="104">
        <v>3</v>
      </c>
      <c r="G34" s="191">
        <v>2.6</v>
      </c>
      <c r="H34" s="57">
        <f>IF(F34=0,0,+G34/F34)</f>
        <v>0.8666666666666667</v>
      </c>
    </row>
    <row r="35" spans="1:8" ht="15">
      <c r="A35" s="47" t="s">
        <v>34</v>
      </c>
      <c r="B35" s="44"/>
      <c r="C35" s="103">
        <v>3.7</v>
      </c>
      <c r="D35" s="103">
        <v>3.2</v>
      </c>
      <c r="E35" s="6">
        <f>C35*D35*2.75</f>
        <v>32.56</v>
      </c>
      <c r="F35" s="104">
        <v>3</v>
      </c>
      <c r="G35" s="191">
        <v>2.7</v>
      </c>
      <c r="H35" s="57">
        <f aca="true" t="shared" si="0" ref="H35:H42">IF(F35=0,0,+G35/F35)</f>
        <v>0.9</v>
      </c>
    </row>
    <row r="36" spans="1:8" ht="15">
      <c r="A36" s="47" t="s">
        <v>35</v>
      </c>
      <c r="B36" s="44"/>
      <c r="C36" s="103">
        <v>3</v>
      </c>
      <c r="D36" s="103">
        <v>2.7</v>
      </c>
      <c r="E36" s="6">
        <f>C36*D36*$H$13</f>
        <v>0</v>
      </c>
      <c r="F36" s="104">
        <v>2</v>
      </c>
      <c r="G36" s="217">
        <v>1.8</v>
      </c>
      <c r="H36" s="57">
        <f>+G36/F36</f>
        <v>0.9</v>
      </c>
    </row>
    <row r="37" spans="1:8" ht="15">
      <c r="A37" s="47" t="s">
        <v>36</v>
      </c>
      <c r="B37" s="44"/>
      <c r="C37" s="103">
        <v>1.8</v>
      </c>
      <c r="D37" s="103">
        <v>2.4</v>
      </c>
      <c r="E37" s="6">
        <f>C37*D37*$H$13</f>
        <v>0</v>
      </c>
      <c r="F37" s="104">
        <v>2</v>
      </c>
      <c r="G37" s="217">
        <v>1.8</v>
      </c>
      <c r="H37" s="57">
        <f>+G37/F37</f>
        <v>0.9</v>
      </c>
    </row>
    <row r="38" spans="1:8" ht="15">
      <c r="A38" s="47" t="s">
        <v>37</v>
      </c>
      <c r="B38" s="44"/>
      <c r="C38" s="103">
        <v>2.7</v>
      </c>
      <c r="D38" s="103">
        <v>2.7</v>
      </c>
      <c r="E38" s="6">
        <f>C38*D38*2.75</f>
        <v>20.047500000000003</v>
      </c>
      <c r="F38" s="104">
        <v>2</v>
      </c>
      <c r="G38" s="191">
        <v>2.3</v>
      </c>
      <c r="H38" s="57">
        <f t="shared" si="0"/>
        <v>1.15</v>
      </c>
    </row>
    <row r="39" spans="1:8" ht="15">
      <c r="A39" s="47" t="s">
        <v>59</v>
      </c>
      <c r="B39" s="44"/>
      <c r="C39" s="103">
        <v>1.8</v>
      </c>
      <c r="D39" s="103">
        <v>2.4</v>
      </c>
      <c r="E39" s="6">
        <f>C39*D39*$H$13</f>
        <v>0</v>
      </c>
      <c r="F39" s="104">
        <v>2</v>
      </c>
      <c r="G39" s="217">
        <v>2.3</v>
      </c>
      <c r="H39" s="57">
        <f>+G39/F39</f>
        <v>1.15</v>
      </c>
    </row>
    <row r="40" spans="1:8" ht="15">
      <c r="A40" s="47" t="s">
        <v>38</v>
      </c>
      <c r="B40" s="44"/>
      <c r="C40" s="103">
        <v>3</v>
      </c>
      <c r="D40" s="103">
        <v>2.6</v>
      </c>
      <c r="E40" s="6">
        <f>C40*D40*$H$11</f>
        <v>29.250000000000004</v>
      </c>
      <c r="F40" s="104">
        <v>3</v>
      </c>
      <c r="G40" s="191">
        <v>2.9</v>
      </c>
      <c r="H40" s="57">
        <f t="shared" si="0"/>
        <v>0.9666666666666667</v>
      </c>
    </row>
    <row r="41" spans="1:8" ht="15">
      <c r="A41" s="47" t="s">
        <v>39</v>
      </c>
      <c r="B41" s="44"/>
      <c r="C41" s="103">
        <v>4</v>
      </c>
      <c r="D41" s="103">
        <v>2.6</v>
      </c>
      <c r="E41" s="6">
        <f>C41*D41*$H$11</f>
        <v>39</v>
      </c>
      <c r="F41" s="104">
        <v>3</v>
      </c>
      <c r="G41" s="191">
        <v>2.9</v>
      </c>
      <c r="H41" s="57">
        <f t="shared" si="0"/>
        <v>0.9666666666666667</v>
      </c>
    </row>
    <row r="42" spans="1:8" ht="15">
      <c r="A42" s="47" t="s">
        <v>40</v>
      </c>
      <c r="B42" s="44"/>
      <c r="C42" s="103">
        <v>6</v>
      </c>
      <c r="D42" s="103">
        <v>3.2</v>
      </c>
      <c r="E42" s="6">
        <f>C42*D42*$H$11</f>
        <v>72.00000000000001</v>
      </c>
      <c r="F42" s="104">
        <v>3</v>
      </c>
      <c r="G42" s="191">
        <v>2.9</v>
      </c>
      <c r="H42" s="57">
        <f t="shared" si="0"/>
        <v>0.9666666666666667</v>
      </c>
    </row>
    <row r="43" spans="1:8" ht="15">
      <c r="A43" s="207"/>
      <c r="B43" s="208"/>
      <c r="C43" s="203"/>
      <c r="D43" s="203"/>
      <c r="E43" s="203"/>
      <c r="F43" s="209"/>
      <c r="G43" s="210"/>
      <c r="H43" s="211"/>
    </row>
    <row r="44" spans="1:8" ht="15">
      <c r="A44" s="207"/>
      <c r="B44" s="208"/>
      <c r="C44" s="203"/>
      <c r="D44" s="203"/>
      <c r="E44" s="203"/>
      <c r="F44" s="209"/>
      <c r="G44" s="210"/>
      <c r="H44" s="211"/>
    </row>
    <row r="45" ht="22.5">
      <c r="A45" s="27"/>
    </row>
    <row r="46" ht="22.5">
      <c r="A46" s="27"/>
    </row>
    <row r="47" ht="22.5">
      <c r="A47" s="27"/>
    </row>
    <row r="48" ht="22.5">
      <c r="A48" s="27"/>
    </row>
    <row r="49" ht="22.5">
      <c r="A49" s="27"/>
    </row>
    <row r="50" ht="22.5">
      <c r="A50" s="27"/>
    </row>
    <row r="51" ht="22.5">
      <c r="A51" s="27"/>
    </row>
    <row r="52" ht="22.5">
      <c r="A52" s="27"/>
    </row>
    <row r="53" ht="22.5">
      <c r="A53" s="27"/>
    </row>
    <row r="54" ht="22.5">
      <c r="A54" s="27"/>
    </row>
    <row r="55" ht="22.5">
      <c r="A55" s="27"/>
    </row>
    <row r="56" ht="22.5">
      <c r="A56" s="27"/>
    </row>
    <row r="57" ht="22.5">
      <c r="A57" s="27"/>
    </row>
    <row r="58" ht="24.75">
      <c r="A58" s="101" t="s">
        <v>41</v>
      </c>
    </row>
    <row r="59" ht="19.5">
      <c r="A59" s="102" t="s">
        <v>42</v>
      </c>
    </row>
    <row r="60" ht="9" customHeight="1" thickBot="1">
      <c r="A60" s="27"/>
    </row>
    <row r="61" spans="1:9" ht="15">
      <c r="A61" s="212" t="s">
        <v>43</v>
      </c>
      <c r="B61" s="253" t="s">
        <v>49</v>
      </c>
      <c r="C61" s="254"/>
      <c r="D61" s="254"/>
      <c r="E61" s="255"/>
      <c r="F61" s="260" t="s">
        <v>50</v>
      </c>
      <c r="G61" s="261"/>
      <c r="H61" s="260" t="s">
        <v>6</v>
      </c>
      <c r="I61" s="261"/>
    </row>
    <row r="62" spans="1:9" ht="12.75">
      <c r="A62" s="213" t="s">
        <v>44</v>
      </c>
      <c r="B62" s="65" t="s">
        <v>47</v>
      </c>
      <c r="C62" s="38" t="s">
        <v>48</v>
      </c>
      <c r="D62" s="38" t="s">
        <v>51</v>
      </c>
      <c r="E62" s="40" t="s">
        <v>52</v>
      </c>
      <c r="F62" s="65" t="s">
        <v>47</v>
      </c>
      <c r="G62" s="40" t="s">
        <v>48</v>
      </c>
      <c r="H62" s="39" t="s">
        <v>47</v>
      </c>
      <c r="I62" s="40" t="s">
        <v>53</v>
      </c>
    </row>
    <row r="63" spans="1:9" ht="12.75">
      <c r="A63" s="214" t="s">
        <v>45</v>
      </c>
      <c r="B63" s="113">
        <v>92.5</v>
      </c>
      <c r="C63" s="66">
        <v>29.3</v>
      </c>
      <c r="D63" s="112">
        <v>0.05</v>
      </c>
      <c r="E63" s="114">
        <v>4.29</v>
      </c>
      <c r="F63" s="113"/>
      <c r="G63" s="115"/>
      <c r="H63" s="12">
        <f>+F63+B63</f>
        <v>92.5</v>
      </c>
      <c r="I63" s="14">
        <f>ROUND(+G63*F63+C63*B63,0)</f>
        <v>2710</v>
      </c>
    </row>
    <row r="64" spans="1:9" ht="12.75">
      <c r="A64" s="215" t="s">
        <v>46</v>
      </c>
      <c r="B64" s="113">
        <v>7.5</v>
      </c>
      <c r="C64" s="66">
        <v>29.3</v>
      </c>
      <c r="D64" s="112">
        <v>0.05</v>
      </c>
      <c r="E64" s="114">
        <v>4.29</v>
      </c>
      <c r="F64" s="113"/>
      <c r="G64" s="115"/>
      <c r="H64" s="12">
        <f>+B64+F64</f>
        <v>7.5</v>
      </c>
      <c r="I64" s="14">
        <f>ROUND(+G64*F64+C64*B64,0)</f>
        <v>220</v>
      </c>
    </row>
    <row r="65" spans="1:9" ht="13.5" thickBot="1">
      <c r="A65" s="97"/>
      <c r="B65" s="109"/>
      <c r="C65" s="116"/>
      <c r="D65" s="117"/>
      <c r="E65" s="118"/>
      <c r="F65" s="109"/>
      <c r="G65" s="119"/>
      <c r="H65" s="12">
        <f>+B65+F65</f>
        <v>0</v>
      </c>
      <c r="I65" s="14">
        <f>ROUND(+G65*F65+C65*B65,0)</f>
        <v>0</v>
      </c>
    </row>
    <row r="66" spans="1:9" ht="15.75" thickBot="1">
      <c r="A66" s="90" t="s">
        <v>3</v>
      </c>
      <c r="B66" s="91">
        <f>SUM(B63:B65)</f>
        <v>100</v>
      </c>
      <c r="C66" s="96">
        <f>IF(B66=0,0,SUMPRODUCT(B63:B65,C63:C65)/B66)</f>
        <v>29.3</v>
      </c>
      <c r="D66" s="92"/>
      <c r="E66" s="93">
        <f>IF(B66=0,0,(SUMPRODUCT(B63:B65,C63:C65,E63:E65)/B66/C66))</f>
        <v>4.29</v>
      </c>
      <c r="F66" s="90">
        <f>SUM(F63:F65)</f>
        <v>0</v>
      </c>
      <c r="G66" s="172">
        <f>IF(F66=0,0,SUMPRODUCT(F63:F65,G63:G65)/F66)</f>
        <v>0</v>
      </c>
      <c r="H66" s="91">
        <f>SUM(H63:H64)</f>
        <v>100</v>
      </c>
      <c r="I66" s="94">
        <f>SUM(I63:I64)</f>
        <v>2930</v>
      </c>
    </row>
    <row r="67" ht="13.5" thickBot="1"/>
    <row r="68" spans="1:9" ht="15">
      <c r="A68" s="212" t="s">
        <v>54</v>
      </c>
      <c r="B68" s="253" t="s">
        <v>49</v>
      </c>
      <c r="C68" s="254"/>
      <c r="D68" s="254"/>
      <c r="E68" s="255"/>
      <c r="F68" s="260" t="s">
        <v>50</v>
      </c>
      <c r="G68" s="261"/>
      <c r="H68" s="260" t="s">
        <v>6</v>
      </c>
      <c r="I68" s="261"/>
    </row>
    <row r="69" spans="1:9" ht="12.75">
      <c r="A69" s="213" t="s">
        <v>44</v>
      </c>
      <c r="B69" s="65" t="s">
        <v>47</v>
      </c>
      <c r="C69" s="38" t="s">
        <v>48</v>
      </c>
      <c r="D69" s="38" t="s">
        <v>51</v>
      </c>
      <c r="E69" s="40" t="s">
        <v>52</v>
      </c>
      <c r="F69" s="65" t="s">
        <v>47</v>
      </c>
      <c r="G69" s="40" t="s">
        <v>48</v>
      </c>
      <c r="H69" s="39" t="s">
        <v>47</v>
      </c>
      <c r="I69" s="40" t="s">
        <v>53</v>
      </c>
    </row>
    <row r="70" spans="1:9" ht="12.75">
      <c r="A70" s="215" t="s">
        <v>55</v>
      </c>
      <c r="B70" s="113">
        <v>92.5</v>
      </c>
      <c r="C70" s="66">
        <v>29.3</v>
      </c>
      <c r="D70" s="112">
        <v>0.05</v>
      </c>
      <c r="E70" s="114">
        <v>4.29</v>
      </c>
      <c r="F70" s="113"/>
      <c r="G70" s="115"/>
      <c r="H70" s="12">
        <f>+B70+F70</f>
        <v>92.5</v>
      </c>
      <c r="I70" s="14">
        <f aca="true" t="shared" si="1" ref="I70:I81">ROUND(+G70*F70+C70*B70,0)</f>
        <v>2710</v>
      </c>
    </row>
    <row r="71" spans="1:9" ht="12.75">
      <c r="A71" s="215" t="s">
        <v>35</v>
      </c>
      <c r="B71" s="113"/>
      <c r="C71" s="66"/>
      <c r="D71" s="112"/>
      <c r="E71" s="114"/>
      <c r="F71" s="113"/>
      <c r="G71" s="115"/>
      <c r="H71" s="12">
        <f>+F71+B71</f>
        <v>0</v>
      </c>
      <c r="I71" s="14">
        <f t="shared" si="1"/>
        <v>0</v>
      </c>
    </row>
    <row r="72" spans="1:9" ht="12.75">
      <c r="A72" s="214" t="s">
        <v>56</v>
      </c>
      <c r="B72" s="113"/>
      <c r="C72" s="66"/>
      <c r="D72" s="112"/>
      <c r="E72" s="114"/>
      <c r="F72" s="113"/>
      <c r="G72" s="115"/>
      <c r="H72" s="12">
        <f>+F72+B72</f>
        <v>0</v>
      </c>
      <c r="I72" s="14">
        <f t="shared" si="1"/>
        <v>0</v>
      </c>
    </row>
    <row r="73" spans="1:9" ht="12.75">
      <c r="A73" s="215" t="s">
        <v>60</v>
      </c>
      <c r="B73" s="113"/>
      <c r="C73" s="66"/>
      <c r="D73" s="112"/>
      <c r="E73" s="114"/>
      <c r="F73" s="113"/>
      <c r="G73" s="115"/>
      <c r="H73" s="12">
        <f>+F73+B73</f>
        <v>0</v>
      </c>
      <c r="I73" s="14">
        <f>ROUND(+G73*F73+C73*B73,0)</f>
        <v>0</v>
      </c>
    </row>
    <row r="74" spans="1:9" ht="12.75">
      <c r="A74" s="215" t="s">
        <v>57</v>
      </c>
      <c r="B74" s="113"/>
      <c r="C74" s="66"/>
      <c r="D74" s="112"/>
      <c r="E74" s="114"/>
      <c r="F74" s="113"/>
      <c r="G74" s="115"/>
      <c r="H74" s="12">
        <f>+F74+B74</f>
        <v>0</v>
      </c>
      <c r="I74" s="14">
        <f>ROUND(+G74*F74+C74*B74,0)</f>
        <v>0</v>
      </c>
    </row>
    <row r="75" spans="1:9" ht="12.75">
      <c r="A75" s="215" t="s">
        <v>57</v>
      </c>
      <c r="B75" s="113"/>
      <c r="C75" s="66"/>
      <c r="D75" s="112"/>
      <c r="E75" s="114"/>
      <c r="F75" s="113"/>
      <c r="G75" s="115"/>
      <c r="H75" s="12">
        <f>+F75+B75</f>
        <v>0</v>
      </c>
      <c r="I75" s="14">
        <f t="shared" si="1"/>
        <v>0</v>
      </c>
    </row>
    <row r="76" spans="1:9" ht="12.75">
      <c r="A76" s="215" t="s">
        <v>38</v>
      </c>
      <c r="B76" s="113">
        <v>7.5</v>
      </c>
      <c r="C76" s="66">
        <v>29.3</v>
      </c>
      <c r="D76" s="112">
        <v>0.05</v>
      </c>
      <c r="E76" s="114">
        <v>4.29</v>
      </c>
      <c r="F76" s="113"/>
      <c r="G76" s="115"/>
      <c r="H76" s="12">
        <f aca="true" t="shared" si="2" ref="H76:H81">+B76+F76</f>
        <v>7.5</v>
      </c>
      <c r="I76" s="14">
        <f t="shared" si="1"/>
        <v>220</v>
      </c>
    </row>
    <row r="77" spans="1:9" ht="12.75">
      <c r="A77" s="215" t="s">
        <v>39</v>
      </c>
      <c r="B77" s="113"/>
      <c r="C77" s="66"/>
      <c r="D77" s="112"/>
      <c r="E77" s="114"/>
      <c r="F77" s="113"/>
      <c r="G77" s="115"/>
      <c r="H77" s="12">
        <f t="shared" si="2"/>
        <v>0</v>
      </c>
      <c r="I77" s="14">
        <f>ROUND(+G77*F77+C77*B77,0)</f>
        <v>0</v>
      </c>
    </row>
    <row r="78" spans="1:9" ht="12.75">
      <c r="A78" s="215" t="s">
        <v>40</v>
      </c>
      <c r="B78" s="113"/>
      <c r="C78" s="66"/>
      <c r="D78" s="112"/>
      <c r="E78" s="114"/>
      <c r="F78" s="113"/>
      <c r="G78" s="115"/>
      <c r="H78" s="12">
        <f t="shared" si="2"/>
        <v>0</v>
      </c>
      <c r="I78" s="14">
        <f>ROUND(+G78*F78+C78*B78,0)</f>
        <v>0</v>
      </c>
    </row>
    <row r="79" spans="1:9" ht="12.75">
      <c r="A79" s="215" t="s">
        <v>58</v>
      </c>
      <c r="B79" s="113"/>
      <c r="C79" s="66"/>
      <c r="D79" s="112"/>
      <c r="E79" s="114"/>
      <c r="F79" s="113"/>
      <c r="G79" s="115"/>
      <c r="H79" s="12">
        <f t="shared" si="2"/>
        <v>0</v>
      </c>
      <c r="I79" s="14">
        <f>ROUND(+G79*F79+C79*B79,0)</f>
        <v>0</v>
      </c>
    </row>
    <row r="80" spans="1:9" ht="12.75">
      <c r="A80" s="215" t="s">
        <v>46</v>
      </c>
      <c r="B80" s="113"/>
      <c r="C80" s="66"/>
      <c r="D80" s="112"/>
      <c r="E80" s="114"/>
      <c r="F80" s="113"/>
      <c r="G80" s="115"/>
      <c r="H80" s="12">
        <f t="shared" si="2"/>
        <v>0</v>
      </c>
      <c r="I80" s="14">
        <f t="shared" si="1"/>
        <v>0</v>
      </c>
    </row>
    <row r="81" spans="1:9" ht="13.5" thickBot="1">
      <c r="A81" s="97"/>
      <c r="B81" s="120"/>
      <c r="C81" s="121"/>
      <c r="D81" s="122"/>
      <c r="E81" s="123"/>
      <c r="F81" s="120"/>
      <c r="G81" s="124"/>
      <c r="H81" s="12">
        <f t="shared" si="2"/>
        <v>0</v>
      </c>
      <c r="I81" s="14">
        <f t="shared" si="1"/>
        <v>0</v>
      </c>
    </row>
    <row r="82" spans="1:9" ht="15.75" thickBot="1">
      <c r="A82" s="90" t="s">
        <v>3</v>
      </c>
      <c r="B82" s="91">
        <f>SUM(B70:B81)</f>
        <v>100</v>
      </c>
      <c r="C82" s="96">
        <f>IF(B82=0,0,SUMPRODUCT(B70:B81,C70:C81)/B82)</f>
        <v>29.3</v>
      </c>
      <c r="D82" s="95"/>
      <c r="E82" s="93">
        <f>IF(B82=0,0,(SUMPRODUCT(B70:B81,C70:C81,E70:E81)/B82/C82))</f>
        <v>4.29</v>
      </c>
      <c r="F82" s="91">
        <f>SUM(F70:F81)</f>
        <v>0</v>
      </c>
      <c r="G82" s="96">
        <f>IF(F82=0,0,SUMPRODUCT(F70:F81,G70:G81)/F82)</f>
        <v>0</v>
      </c>
      <c r="H82" s="91">
        <f>SUM(H70:H81)</f>
        <v>100</v>
      </c>
      <c r="I82" s="94">
        <f>SUM(I70:I81)</f>
        <v>2930</v>
      </c>
    </row>
    <row r="83" spans="2:9" ht="12.75">
      <c r="B83" s="5"/>
      <c r="C83" s="5"/>
      <c r="E83" s="5"/>
      <c r="F83" s="5"/>
      <c r="H83" s="5"/>
      <c r="I83" s="5"/>
    </row>
    <row r="84" ht="19.5">
      <c r="A84" s="102" t="s">
        <v>61</v>
      </c>
    </row>
    <row r="86" spans="1:5" ht="12.75">
      <c r="A86" s="43" t="s">
        <v>62</v>
      </c>
      <c r="D86" s="110">
        <v>2</v>
      </c>
      <c r="E86" t="s">
        <v>65</v>
      </c>
    </row>
    <row r="87" spans="1:5" ht="12.75">
      <c r="A87" s="43" t="s">
        <v>63</v>
      </c>
      <c r="D87" s="110">
        <v>20.8</v>
      </c>
      <c r="E87" t="s">
        <v>66</v>
      </c>
    </row>
    <row r="88" spans="1:4" ht="12.75">
      <c r="A88" s="43" t="s">
        <v>64</v>
      </c>
      <c r="D88" s="125">
        <v>0.1</v>
      </c>
    </row>
    <row r="90" ht="19.5">
      <c r="A90" s="102" t="s">
        <v>67</v>
      </c>
    </row>
    <row r="92" spans="3:11" ht="12.75">
      <c r="C92" s="8"/>
      <c r="D92" s="8"/>
      <c r="E92" s="2"/>
      <c r="F92" s="2"/>
      <c r="G92" s="219" t="s">
        <v>72</v>
      </c>
      <c r="H92" s="8"/>
      <c r="I92" s="8"/>
      <c r="J92" s="2"/>
      <c r="K92" s="2"/>
    </row>
    <row r="93" spans="1:16" ht="15.75">
      <c r="A93" s="275" t="s">
        <v>68</v>
      </c>
      <c r="B93" s="246"/>
      <c r="C93" s="38" t="s">
        <v>47</v>
      </c>
      <c r="D93" s="38" t="s">
        <v>69</v>
      </c>
      <c r="E93" s="38" t="s">
        <v>70</v>
      </c>
      <c r="F93" s="3" t="s">
        <v>71</v>
      </c>
      <c r="G93" s="220" t="s">
        <v>73</v>
      </c>
      <c r="H93" s="221" t="s">
        <v>6</v>
      </c>
      <c r="I93" s="38" t="s">
        <v>74</v>
      </c>
      <c r="N93" s="171">
        <v>1</v>
      </c>
      <c r="O93" s="171">
        <v>2</v>
      </c>
      <c r="P93" s="171">
        <v>3</v>
      </c>
    </row>
    <row r="94" spans="1:16" ht="15">
      <c r="A94" s="3" t="s">
        <v>45</v>
      </c>
      <c r="B94" s="45"/>
      <c r="C94" s="4">
        <f>H63</f>
        <v>92.5</v>
      </c>
      <c r="D94" s="66">
        <v>2</v>
      </c>
      <c r="E94" s="66">
        <v>2.75</v>
      </c>
      <c r="F94" s="61">
        <f>IF(D94&gt;0,ROUNDUP(+C94/E94/D94,0),0)</f>
        <v>17</v>
      </c>
      <c r="G94" s="66">
        <v>0</v>
      </c>
      <c r="H94" s="61">
        <f>+G94+F94</f>
        <v>17</v>
      </c>
      <c r="I94" s="66">
        <v>2</v>
      </c>
      <c r="K94" s="170">
        <f>+I94</f>
        <v>2</v>
      </c>
      <c r="L94" s="170">
        <f>+G94+F94</f>
        <v>17</v>
      </c>
      <c r="N94">
        <f aca="true" t="shared" si="3" ref="N94:P96">IF($K94=N$101,$L94,0)</f>
        <v>0</v>
      </c>
      <c r="O94">
        <f t="shared" si="3"/>
        <v>17</v>
      </c>
      <c r="P94">
        <f t="shared" si="3"/>
        <v>0</v>
      </c>
    </row>
    <row r="95" spans="1:16" ht="15">
      <c r="A95" s="3" t="s">
        <v>46</v>
      </c>
      <c r="B95" s="45"/>
      <c r="C95" s="4">
        <f>H64</f>
        <v>7.5</v>
      </c>
      <c r="D95" s="66">
        <v>2</v>
      </c>
      <c r="E95" s="66">
        <v>2.75</v>
      </c>
      <c r="F95" s="61">
        <f>IF(D95&gt;0,ROUNDUP(+C95/E95/D95,0),0)</f>
        <v>2</v>
      </c>
      <c r="G95" s="66">
        <v>2</v>
      </c>
      <c r="H95" s="61">
        <f>+G95+F95</f>
        <v>4</v>
      </c>
      <c r="I95" s="66">
        <v>1</v>
      </c>
      <c r="K95" s="170">
        <f>+I95</f>
        <v>1</v>
      </c>
      <c r="L95" s="170">
        <f>+G95+F95</f>
        <v>4</v>
      </c>
      <c r="N95">
        <f t="shared" si="3"/>
        <v>4</v>
      </c>
      <c r="O95">
        <f t="shared" si="3"/>
        <v>0</v>
      </c>
      <c r="P95">
        <f t="shared" si="3"/>
        <v>0</v>
      </c>
    </row>
    <row r="96" spans="1:16" ht="15">
      <c r="A96" s="105">
        <f>IF(+A65=0,"",A65)</f>
      </c>
      <c r="B96" s="106"/>
      <c r="C96" s="4">
        <f>H65</f>
        <v>0</v>
      </c>
      <c r="D96" s="66"/>
      <c r="E96" s="66"/>
      <c r="F96" s="61">
        <f>IF(D96&gt;0,ROUNDUP(+C96/E96/D96,0),0)</f>
        <v>0</v>
      </c>
      <c r="G96" s="66"/>
      <c r="H96" s="61">
        <f>+G96+F96</f>
        <v>0</v>
      </c>
      <c r="I96" s="66"/>
      <c r="K96" s="170">
        <f>+I96</f>
        <v>0</v>
      </c>
      <c r="L96" s="170">
        <f>+G96+F96</f>
        <v>0</v>
      </c>
      <c r="N96" s="171">
        <f t="shared" si="3"/>
        <v>0</v>
      </c>
      <c r="O96" s="171">
        <f t="shared" si="3"/>
        <v>0</v>
      </c>
      <c r="P96" s="171">
        <f t="shared" si="3"/>
        <v>0</v>
      </c>
    </row>
    <row r="97" spans="8:16" ht="12.75">
      <c r="H97" s="5" t="s">
        <v>66</v>
      </c>
      <c r="K97" s="170"/>
      <c r="L97" s="170"/>
      <c r="N97">
        <f>MAX(N94:N96)</f>
        <v>4</v>
      </c>
      <c r="O97">
        <f>MAX(O94:O96)</f>
        <v>17</v>
      </c>
      <c r="P97">
        <f>MAX(P94:P96)</f>
        <v>0</v>
      </c>
    </row>
    <row r="98" spans="8:12" ht="12.75">
      <c r="H98" s="62">
        <f>SUM(N97:R97)</f>
        <v>21</v>
      </c>
      <c r="K98" s="170"/>
      <c r="L98" s="170"/>
    </row>
    <row r="99" spans="11:12" ht="12.75">
      <c r="K99" s="170"/>
      <c r="L99" s="170"/>
    </row>
    <row r="100" ht="12.75">
      <c r="G100" s="219" t="s">
        <v>72</v>
      </c>
    </row>
    <row r="101" spans="1:24" ht="15.75">
      <c r="A101" s="275" t="s">
        <v>75</v>
      </c>
      <c r="B101" s="276"/>
      <c r="C101" s="38" t="s">
        <v>47</v>
      </c>
      <c r="D101" s="38" t="s">
        <v>69</v>
      </c>
      <c r="E101" s="38" t="s">
        <v>70</v>
      </c>
      <c r="F101" s="3" t="s">
        <v>71</v>
      </c>
      <c r="G101" s="220" t="s">
        <v>73</v>
      </c>
      <c r="H101" s="221" t="s">
        <v>6</v>
      </c>
      <c r="I101" s="38" t="s">
        <v>74</v>
      </c>
      <c r="N101" s="171">
        <v>1</v>
      </c>
      <c r="O101" s="171">
        <v>2</v>
      </c>
      <c r="P101" s="171">
        <v>3</v>
      </c>
      <c r="Q101" s="171">
        <v>4</v>
      </c>
      <c r="R101" s="171">
        <v>5</v>
      </c>
      <c r="S101" s="171">
        <v>6</v>
      </c>
      <c r="T101" s="171">
        <v>7</v>
      </c>
      <c r="U101" s="171">
        <v>8</v>
      </c>
      <c r="V101" s="171">
        <v>9</v>
      </c>
      <c r="W101" s="171">
        <v>10</v>
      </c>
      <c r="X101" s="171">
        <v>11</v>
      </c>
    </row>
    <row r="102" spans="1:24" ht="15">
      <c r="A102" s="3" t="s">
        <v>55</v>
      </c>
      <c r="B102" s="45"/>
      <c r="C102" s="4">
        <f>+H70</f>
        <v>92.5</v>
      </c>
      <c r="D102" s="66">
        <v>2</v>
      </c>
      <c r="E102" s="66">
        <v>2.75</v>
      </c>
      <c r="F102" s="61">
        <f aca="true" t="shared" si="4" ref="F102:F113">IF(D102&gt;0,ROUNDUP(+C102/E102/D102,0),0)</f>
        <v>17</v>
      </c>
      <c r="G102" s="66">
        <v>0</v>
      </c>
      <c r="H102" s="61">
        <f>+G102+F102</f>
        <v>17</v>
      </c>
      <c r="I102" s="66">
        <v>2</v>
      </c>
      <c r="K102" s="170">
        <f aca="true" t="shared" si="5" ref="K102:K113">+I102</f>
        <v>2</v>
      </c>
      <c r="L102" s="170">
        <f aca="true" t="shared" si="6" ref="L102:L113">+G102+F102</f>
        <v>17</v>
      </c>
      <c r="N102">
        <f aca="true" t="shared" si="7" ref="N102:N113">IF($K102=N$101,$L102,0)</f>
        <v>0</v>
      </c>
      <c r="O102">
        <f aca="true" t="shared" si="8" ref="O102:X113">IF($K102=O$101,$L102,0)</f>
        <v>17</v>
      </c>
      <c r="P102">
        <f t="shared" si="8"/>
        <v>0</v>
      </c>
      <c r="Q102">
        <f t="shared" si="8"/>
        <v>0</v>
      </c>
      <c r="R102">
        <f t="shared" si="8"/>
        <v>0</v>
      </c>
      <c r="S102">
        <f t="shared" si="8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</row>
    <row r="103" spans="1:24" ht="15">
      <c r="A103" s="3" t="s">
        <v>35</v>
      </c>
      <c r="B103" s="45"/>
      <c r="C103" s="4">
        <f aca="true" t="shared" si="9" ref="C103:C113">H71</f>
        <v>0</v>
      </c>
      <c r="D103" s="66"/>
      <c r="E103" s="66"/>
      <c r="F103" s="61">
        <f t="shared" si="4"/>
        <v>0</v>
      </c>
      <c r="G103" s="66"/>
      <c r="H103" s="61">
        <f aca="true" t="shared" si="10" ref="H103:H113">+G103+F103</f>
        <v>0</v>
      </c>
      <c r="I103" s="66"/>
      <c r="K103" s="170">
        <f t="shared" si="5"/>
        <v>0</v>
      </c>
      <c r="L103" s="170">
        <f t="shared" si="6"/>
        <v>0</v>
      </c>
      <c r="N103">
        <f t="shared" si="7"/>
        <v>0</v>
      </c>
      <c r="O103">
        <f t="shared" si="8"/>
        <v>0</v>
      </c>
      <c r="P103">
        <f t="shared" si="8"/>
        <v>0</v>
      </c>
      <c r="Q103">
        <f t="shared" si="8"/>
        <v>0</v>
      </c>
      <c r="R103">
        <f t="shared" si="8"/>
        <v>0</v>
      </c>
      <c r="S103">
        <f t="shared" si="8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</row>
    <row r="104" spans="1:24" ht="15">
      <c r="A104" s="3" t="s">
        <v>56</v>
      </c>
      <c r="B104" s="45"/>
      <c r="C104" s="4">
        <f t="shared" si="9"/>
        <v>0</v>
      </c>
      <c r="D104" s="66"/>
      <c r="E104" s="66"/>
      <c r="F104" s="61">
        <f t="shared" si="4"/>
        <v>0</v>
      </c>
      <c r="G104" s="66"/>
      <c r="H104" s="61">
        <f t="shared" si="10"/>
        <v>0</v>
      </c>
      <c r="I104" s="66"/>
      <c r="K104" s="170">
        <f t="shared" si="5"/>
        <v>0</v>
      </c>
      <c r="L104" s="170">
        <f t="shared" si="6"/>
        <v>0</v>
      </c>
      <c r="N104">
        <f t="shared" si="7"/>
        <v>0</v>
      </c>
      <c r="O104">
        <f t="shared" si="8"/>
        <v>0</v>
      </c>
      <c r="P104">
        <f t="shared" si="8"/>
        <v>0</v>
      </c>
      <c r="Q104">
        <f t="shared" si="8"/>
        <v>0</v>
      </c>
      <c r="R104">
        <f t="shared" si="8"/>
        <v>0</v>
      </c>
      <c r="S104">
        <f t="shared" si="8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</row>
    <row r="105" spans="1:24" ht="15">
      <c r="A105" s="3" t="s">
        <v>60</v>
      </c>
      <c r="B105" s="45"/>
      <c r="C105" s="4">
        <f t="shared" si="9"/>
        <v>0</v>
      </c>
      <c r="D105" s="66"/>
      <c r="E105" s="66"/>
      <c r="F105" s="61">
        <f>IF(D105&gt;0,ROUNDUP(+C105/E105/D105,0),0)</f>
        <v>0</v>
      </c>
      <c r="G105" s="66"/>
      <c r="H105" s="61">
        <f t="shared" si="10"/>
        <v>0</v>
      </c>
      <c r="I105" s="66"/>
      <c r="K105" s="170">
        <f t="shared" si="5"/>
        <v>0</v>
      </c>
      <c r="L105" s="170">
        <f>+G105+F105</f>
        <v>0</v>
      </c>
      <c r="N105">
        <f t="shared" si="7"/>
        <v>0</v>
      </c>
      <c r="O105">
        <f t="shared" si="8"/>
        <v>0</v>
      </c>
      <c r="P105">
        <f t="shared" si="8"/>
        <v>0</v>
      </c>
      <c r="Q105">
        <f t="shared" si="8"/>
        <v>0</v>
      </c>
      <c r="R105">
        <f t="shared" si="8"/>
        <v>0</v>
      </c>
      <c r="S105">
        <f t="shared" si="8"/>
        <v>0</v>
      </c>
      <c r="T105">
        <f t="shared" si="8"/>
        <v>0</v>
      </c>
      <c r="U105">
        <f t="shared" si="8"/>
        <v>0</v>
      </c>
      <c r="V105">
        <f t="shared" si="8"/>
        <v>0</v>
      </c>
      <c r="W105">
        <f t="shared" si="8"/>
        <v>0</v>
      </c>
      <c r="X105">
        <f t="shared" si="8"/>
        <v>0</v>
      </c>
    </row>
    <row r="106" spans="1:24" ht="15">
      <c r="A106" s="3" t="s">
        <v>57</v>
      </c>
      <c r="B106" s="45"/>
      <c r="C106" s="4">
        <f t="shared" si="9"/>
        <v>0</v>
      </c>
      <c r="D106" s="66"/>
      <c r="E106" s="66"/>
      <c r="F106" s="61">
        <f>IF(D106&gt;0,ROUNDUP(+C106/E106/D106,0),0)</f>
        <v>0</v>
      </c>
      <c r="G106" s="66"/>
      <c r="H106" s="61">
        <f t="shared" si="10"/>
        <v>0</v>
      </c>
      <c r="I106" s="66"/>
      <c r="K106" s="170">
        <f t="shared" si="5"/>
        <v>0</v>
      </c>
      <c r="L106" s="170">
        <f>+G106+F106</f>
        <v>0</v>
      </c>
      <c r="N106">
        <f t="shared" si="7"/>
        <v>0</v>
      </c>
      <c r="O106">
        <f t="shared" si="8"/>
        <v>0</v>
      </c>
      <c r="P106">
        <f t="shared" si="8"/>
        <v>0</v>
      </c>
      <c r="Q106">
        <f t="shared" si="8"/>
        <v>0</v>
      </c>
      <c r="R106">
        <f t="shared" si="8"/>
        <v>0</v>
      </c>
      <c r="S106">
        <f t="shared" si="8"/>
        <v>0</v>
      </c>
      <c r="T106">
        <f t="shared" si="8"/>
        <v>0</v>
      </c>
      <c r="U106">
        <f t="shared" si="8"/>
        <v>0</v>
      </c>
      <c r="V106">
        <f t="shared" si="8"/>
        <v>0</v>
      </c>
      <c r="W106">
        <f t="shared" si="8"/>
        <v>0</v>
      </c>
      <c r="X106">
        <f t="shared" si="8"/>
        <v>0</v>
      </c>
    </row>
    <row r="107" spans="1:24" ht="15">
      <c r="A107" s="3" t="s">
        <v>57</v>
      </c>
      <c r="B107" s="45"/>
      <c r="C107" s="4">
        <f t="shared" si="9"/>
        <v>0</v>
      </c>
      <c r="D107" s="66"/>
      <c r="E107" s="66"/>
      <c r="F107" s="61">
        <f t="shared" si="4"/>
        <v>0</v>
      </c>
      <c r="G107" s="66"/>
      <c r="H107" s="61">
        <f t="shared" si="10"/>
        <v>0</v>
      </c>
      <c r="I107" s="66"/>
      <c r="K107" s="170">
        <f t="shared" si="5"/>
        <v>0</v>
      </c>
      <c r="L107" s="170">
        <f t="shared" si="6"/>
        <v>0</v>
      </c>
      <c r="N107">
        <f t="shared" si="7"/>
        <v>0</v>
      </c>
      <c r="O107">
        <f t="shared" si="8"/>
        <v>0</v>
      </c>
      <c r="P107">
        <f t="shared" si="8"/>
        <v>0</v>
      </c>
      <c r="Q107">
        <f t="shared" si="8"/>
        <v>0</v>
      </c>
      <c r="R107">
        <f t="shared" si="8"/>
        <v>0</v>
      </c>
      <c r="S107">
        <f t="shared" si="8"/>
        <v>0</v>
      </c>
      <c r="T107">
        <f t="shared" si="8"/>
        <v>0</v>
      </c>
      <c r="U107">
        <f t="shared" si="8"/>
        <v>0</v>
      </c>
      <c r="V107">
        <f t="shared" si="8"/>
        <v>0</v>
      </c>
      <c r="W107">
        <f t="shared" si="8"/>
        <v>0</v>
      </c>
      <c r="X107">
        <f t="shared" si="8"/>
        <v>0</v>
      </c>
    </row>
    <row r="108" spans="1:24" ht="15">
      <c r="A108" s="3" t="s">
        <v>38</v>
      </c>
      <c r="B108" s="45"/>
      <c r="C108" s="4">
        <f t="shared" si="9"/>
        <v>7.5</v>
      </c>
      <c r="D108" s="66">
        <v>2</v>
      </c>
      <c r="E108" s="66">
        <v>2.75</v>
      </c>
      <c r="F108" s="61">
        <f t="shared" si="4"/>
        <v>2</v>
      </c>
      <c r="G108" s="66">
        <v>2</v>
      </c>
      <c r="H108" s="61">
        <f t="shared" si="10"/>
        <v>4</v>
      </c>
      <c r="I108" s="66">
        <v>1</v>
      </c>
      <c r="K108" s="170">
        <f t="shared" si="5"/>
        <v>1</v>
      </c>
      <c r="L108" s="170">
        <f t="shared" si="6"/>
        <v>4</v>
      </c>
      <c r="N108">
        <f t="shared" si="7"/>
        <v>4</v>
      </c>
      <c r="O108">
        <f t="shared" si="8"/>
        <v>0</v>
      </c>
      <c r="P108">
        <f t="shared" si="8"/>
        <v>0</v>
      </c>
      <c r="Q108">
        <f t="shared" si="8"/>
        <v>0</v>
      </c>
      <c r="R108">
        <f t="shared" si="8"/>
        <v>0</v>
      </c>
      <c r="S108">
        <f t="shared" si="8"/>
        <v>0</v>
      </c>
      <c r="T108">
        <f t="shared" si="8"/>
        <v>0</v>
      </c>
      <c r="U108">
        <f t="shared" si="8"/>
        <v>0</v>
      </c>
      <c r="V108">
        <f t="shared" si="8"/>
        <v>0</v>
      </c>
      <c r="W108">
        <f t="shared" si="8"/>
        <v>0</v>
      </c>
      <c r="X108">
        <f t="shared" si="8"/>
        <v>0</v>
      </c>
    </row>
    <row r="109" spans="1:24" ht="15">
      <c r="A109" s="3" t="s">
        <v>39</v>
      </c>
      <c r="B109" s="45"/>
      <c r="C109" s="4">
        <f t="shared" si="9"/>
        <v>0</v>
      </c>
      <c r="D109" s="66"/>
      <c r="E109" s="66"/>
      <c r="F109" s="61">
        <f>IF(D109&gt;0,ROUNDUP(+C109/E109/D109,0),0)</f>
        <v>0</v>
      </c>
      <c r="G109" s="66"/>
      <c r="H109" s="61">
        <f t="shared" si="10"/>
        <v>0</v>
      </c>
      <c r="I109" s="66"/>
      <c r="K109" s="170">
        <f t="shared" si="5"/>
        <v>0</v>
      </c>
      <c r="L109" s="170">
        <f>+G109+F109</f>
        <v>0</v>
      </c>
      <c r="N109">
        <f t="shared" si="7"/>
        <v>0</v>
      </c>
      <c r="O109">
        <f t="shared" si="8"/>
        <v>0</v>
      </c>
      <c r="P109">
        <f t="shared" si="8"/>
        <v>0</v>
      </c>
      <c r="Q109">
        <f t="shared" si="8"/>
        <v>0</v>
      </c>
      <c r="R109">
        <f t="shared" si="8"/>
        <v>0</v>
      </c>
      <c r="S109">
        <f t="shared" si="8"/>
        <v>0</v>
      </c>
      <c r="T109">
        <f t="shared" si="8"/>
        <v>0</v>
      </c>
      <c r="U109">
        <f t="shared" si="8"/>
        <v>0</v>
      </c>
      <c r="V109">
        <f t="shared" si="8"/>
        <v>0</v>
      </c>
      <c r="W109">
        <f t="shared" si="8"/>
        <v>0</v>
      </c>
      <c r="X109">
        <f t="shared" si="8"/>
        <v>0</v>
      </c>
    </row>
    <row r="110" spans="1:24" ht="15">
      <c r="A110" s="3" t="s">
        <v>40</v>
      </c>
      <c r="B110" s="45"/>
      <c r="C110" s="4">
        <f t="shared" si="9"/>
        <v>0</v>
      </c>
      <c r="D110" s="66"/>
      <c r="E110" s="66"/>
      <c r="F110" s="61">
        <f>IF(D110&gt;0,ROUNDUP(+C110/E110/D110,0),0)</f>
        <v>0</v>
      </c>
      <c r="G110" s="66"/>
      <c r="H110" s="61">
        <f>+G110+F110</f>
        <v>0</v>
      </c>
      <c r="I110" s="66"/>
      <c r="K110" s="170">
        <f>+I110</f>
        <v>0</v>
      </c>
      <c r="L110" s="170">
        <f>+G110+F110</f>
        <v>0</v>
      </c>
      <c r="N110">
        <f t="shared" si="7"/>
        <v>0</v>
      </c>
      <c r="O110">
        <f t="shared" si="8"/>
        <v>0</v>
      </c>
      <c r="P110">
        <f t="shared" si="8"/>
        <v>0</v>
      </c>
      <c r="Q110">
        <f t="shared" si="8"/>
        <v>0</v>
      </c>
      <c r="R110">
        <f t="shared" si="8"/>
        <v>0</v>
      </c>
      <c r="S110">
        <f t="shared" si="8"/>
        <v>0</v>
      </c>
      <c r="T110">
        <f t="shared" si="8"/>
        <v>0</v>
      </c>
      <c r="U110">
        <f t="shared" si="8"/>
        <v>0</v>
      </c>
      <c r="V110">
        <f t="shared" si="8"/>
        <v>0</v>
      </c>
      <c r="W110">
        <f t="shared" si="8"/>
        <v>0</v>
      </c>
      <c r="X110">
        <f t="shared" si="8"/>
        <v>0</v>
      </c>
    </row>
    <row r="111" spans="1:24" ht="15">
      <c r="A111" s="3" t="s">
        <v>58</v>
      </c>
      <c r="B111" s="45"/>
      <c r="C111" s="4">
        <f t="shared" si="9"/>
        <v>0</v>
      </c>
      <c r="D111" s="66"/>
      <c r="E111" s="66"/>
      <c r="F111" s="61">
        <f>IF(D111&gt;0,ROUNDUP(+C111/E111/D111,0),0)</f>
        <v>0</v>
      </c>
      <c r="G111" s="66"/>
      <c r="H111" s="61">
        <f t="shared" si="10"/>
        <v>0</v>
      </c>
      <c r="I111" s="66"/>
      <c r="K111" s="170">
        <f t="shared" si="5"/>
        <v>0</v>
      </c>
      <c r="L111" s="170">
        <f>+G111+F111</f>
        <v>0</v>
      </c>
      <c r="N111">
        <f t="shared" si="7"/>
        <v>0</v>
      </c>
      <c r="O111">
        <f t="shared" si="8"/>
        <v>0</v>
      </c>
      <c r="P111">
        <f t="shared" si="8"/>
        <v>0</v>
      </c>
      <c r="Q111">
        <f t="shared" si="8"/>
        <v>0</v>
      </c>
      <c r="R111">
        <f t="shared" si="8"/>
        <v>0</v>
      </c>
      <c r="S111">
        <f t="shared" si="8"/>
        <v>0</v>
      </c>
      <c r="T111">
        <f t="shared" si="8"/>
        <v>0</v>
      </c>
      <c r="U111">
        <f t="shared" si="8"/>
        <v>0</v>
      </c>
      <c r="V111">
        <f t="shared" si="8"/>
        <v>0</v>
      </c>
      <c r="W111">
        <f t="shared" si="8"/>
        <v>0</v>
      </c>
      <c r="X111">
        <f t="shared" si="8"/>
        <v>0</v>
      </c>
    </row>
    <row r="112" spans="1:24" ht="15">
      <c r="A112" s="3" t="s">
        <v>46</v>
      </c>
      <c r="B112" s="45"/>
      <c r="C112" s="4">
        <f t="shared" si="9"/>
        <v>0</v>
      </c>
      <c r="D112" s="66"/>
      <c r="E112" s="66"/>
      <c r="F112" s="61">
        <f t="shared" si="4"/>
        <v>0</v>
      </c>
      <c r="G112" s="66"/>
      <c r="H112" s="61">
        <f t="shared" si="10"/>
        <v>0</v>
      </c>
      <c r="I112" s="66"/>
      <c r="K112" s="170">
        <f t="shared" si="5"/>
        <v>0</v>
      </c>
      <c r="L112" s="170">
        <f>+G112+F112</f>
        <v>0</v>
      </c>
      <c r="N112">
        <f t="shared" si="7"/>
        <v>0</v>
      </c>
      <c r="O112">
        <f t="shared" si="8"/>
        <v>0</v>
      </c>
      <c r="P112">
        <f t="shared" si="8"/>
        <v>0</v>
      </c>
      <c r="Q112">
        <f t="shared" si="8"/>
        <v>0</v>
      </c>
      <c r="R112">
        <f t="shared" si="8"/>
        <v>0</v>
      </c>
      <c r="S112">
        <f t="shared" si="8"/>
        <v>0</v>
      </c>
      <c r="T112">
        <f t="shared" si="8"/>
        <v>0</v>
      </c>
      <c r="U112">
        <f t="shared" si="8"/>
        <v>0</v>
      </c>
      <c r="V112">
        <f t="shared" si="8"/>
        <v>0</v>
      </c>
      <c r="W112">
        <f t="shared" si="8"/>
        <v>0</v>
      </c>
      <c r="X112">
        <f t="shared" si="8"/>
        <v>0</v>
      </c>
    </row>
    <row r="113" spans="1:24" ht="15">
      <c r="A113" s="105">
        <f>IF(+A81=0,"",A81)</f>
      </c>
      <c r="B113" s="106"/>
      <c r="C113" s="4">
        <f t="shared" si="9"/>
        <v>0</v>
      </c>
      <c r="D113" s="66"/>
      <c r="E113" s="66"/>
      <c r="F113" s="61">
        <f t="shared" si="4"/>
        <v>0</v>
      </c>
      <c r="G113" s="66"/>
      <c r="H113" s="61">
        <f t="shared" si="10"/>
        <v>0</v>
      </c>
      <c r="I113" s="66"/>
      <c r="K113" s="170">
        <f t="shared" si="5"/>
        <v>0</v>
      </c>
      <c r="L113" s="170">
        <f t="shared" si="6"/>
        <v>0</v>
      </c>
      <c r="N113" s="171">
        <f t="shared" si="7"/>
        <v>0</v>
      </c>
      <c r="O113" s="171">
        <f t="shared" si="8"/>
        <v>0</v>
      </c>
      <c r="P113" s="171">
        <f t="shared" si="8"/>
        <v>0</v>
      </c>
      <c r="Q113" s="171">
        <f t="shared" si="8"/>
        <v>0</v>
      </c>
      <c r="R113" s="171">
        <f t="shared" si="8"/>
        <v>0</v>
      </c>
      <c r="S113" s="171">
        <f t="shared" si="8"/>
        <v>0</v>
      </c>
      <c r="T113" s="171">
        <f t="shared" si="8"/>
        <v>0</v>
      </c>
      <c r="U113" s="171">
        <f t="shared" si="8"/>
        <v>0</v>
      </c>
      <c r="V113" s="171">
        <f t="shared" si="8"/>
        <v>0</v>
      </c>
      <c r="W113" s="171">
        <f t="shared" si="8"/>
        <v>0</v>
      </c>
      <c r="X113" s="171">
        <f t="shared" si="8"/>
        <v>0</v>
      </c>
    </row>
    <row r="114" spans="3:24" ht="12.75">
      <c r="C114" s="8"/>
      <c r="D114" s="8"/>
      <c r="E114" s="2"/>
      <c r="F114" s="2"/>
      <c r="H114" s="5" t="s">
        <v>66</v>
      </c>
      <c r="I114" s="8"/>
      <c r="J114" s="2"/>
      <c r="K114" s="2"/>
      <c r="N114">
        <f>MAX(N102:N113)</f>
        <v>4</v>
      </c>
      <c r="O114">
        <f aca="true" t="shared" si="11" ref="O114:T114">MAX(O102:O113)</f>
        <v>17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1"/>
        <v>0</v>
      </c>
      <c r="U114">
        <f>MAX(U102:U113)</f>
        <v>0</v>
      </c>
      <c r="V114">
        <f>MAX(V102:V113)</f>
        <v>0</v>
      </c>
      <c r="W114">
        <f>MAX(W102:W113)</f>
        <v>0</v>
      </c>
      <c r="X114">
        <f>MAX(X102:X113)</f>
        <v>0</v>
      </c>
    </row>
    <row r="115" spans="3:11" ht="12.75">
      <c r="C115" s="8"/>
      <c r="D115" s="8"/>
      <c r="E115" s="2"/>
      <c r="F115" s="2"/>
      <c r="H115" s="62">
        <f>SUM(N114:V114)</f>
        <v>21</v>
      </c>
      <c r="I115" s="8"/>
      <c r="J115" s="2"/>
      <c r="K115" s="2"/>
    </row>
    <row r="116" spans="3:11" ht="12.75">
      <c r="C116" s="8"/>
      <c r="D116" s="8"/>
      <c r="E116" s="2"/>
      <c r="F116" s="2"/>
      <c r="H116" s="8"/>
      <c r="I116" s="8"/>
      <c r="J116" s="2"/>
      <c r="K116" s="2"/>
    </row>
    <row r="117" spans="8:9" ht="16.5" customHeight="1" thickBot="1">
      <c r="H117" s="222"/>
      <c r="I117" s="222"/>
    </row>
    <row r="118" spans="4:9" ht="16.5" customHeight="1" thickBot="1">
      <c r="D118" s="193" t="s">
        <v>76</v>
      </c>
      <c r="E118" s="194" t="s">
        <v>77</v>
      </c>
      <c r="F118" s="195" t="s">
        <v>1</v>
      </c>
      <c r="H118" s="288" t="s">
        <v>78</v>
      </c>
      <c r="I118" s="289"/>
    </row>
    <row r="119" spans="1:9" ht="16.5" customHeight="1">
      <c r="A119" s="251" t="s">
        <v>75</v>
      </c>
      <c r="B119" s="243"/>
      <c r="C119" s="244"/>
      <c r="D119" s="167">
        <f>$H$115</f>
        <v>21</v>
      </c>
      <c r="E119" s="4">
        <f>+D119*D88</f>
        <v>2.1</v>
      </c>
      <c r="F119" s="196">
        <f>+E119+D119</f>
        <v>23.1</v>
      </c>
      <c r="G119" s="192" t="s">
        <v>66</v>
      </c>
      <c r="H119" s="290" t="s">
        <v>79</v>
      </c>
      <c r="I119" s="291"/>
    </row>
    <row r="120" spans="1:9" ht="16.5" customHeight="1" thickBot="1">
      <c r="A120" s="245" t="s">
        <v>68</v>
      </c>
      <c r="B120" s="277"/>
      <c r="C120" s="278"/>
      <c r="D120" s="197">
        <f>$H$98</f>
        <v>21</v>
      </c>
      <c r="E120" s="198">
        <f>+D88*D120</f>
        <v>2.1</v>
      </c>
      <c r="F120" s="199">
        <f>+E120+D120</f>
        <v>23.1</v>
      </c>
      <c r="G120" s="192" t="s">
        <v>66</v>
      </c>
      <c r="H120" s="286">
        <f>ROUNDUP(MAX(F119:F120),0)</f>
        <v>24</v>
      </c>
      <c r="I120" s="287"/>
    </row>
    <row r="122" spans="1:9" ht="24.75">
      <c r="A122" s="101" t="s">
        <v>80</v>
      </c>
      <c r="B122" s="5"/>
      <c r="C122" s="5"/>
      <c r="E122" s="5"/>
      <c r="F122" s="5"/>
      <c r="H122" s="5"/>
      <c r="I122" s="8"/>
    </row>
    <row r="124" ht="19.5">
      <c r="A124" s="59" t="s">
        <v>81</v>
      </c>
    </row>
    <row r="127" spans="1:5" ht="15">
      <c r="A127" s="99" t="s">
        <v>82</v>
      </c>
      <c r="D127" s="126">
        <v>41</v>
      </c>
      <c r="E127" t="s">
        <v>85</v>
      </c>
    </row>
    <row r="128" spans="1:5" ht="15">
      <c r="A128" s="99" t="s">
        <v>83</v>
      </c>
      <c r="D128" s="49">
        <v>4</v>
      </c>
      <c r="E128" t="s">
        <v>86</v>
      </c>
    </row>
    <row r="129" spans="1:5" ht="15">
      <c r="A129" s="99" t="s">
        <v>62</v>
      </c>
      <c r="D129" s="49">
        <v>2</v>
      </c>
      <c r="E129" t="s">
        <v>65</v>
      </c>
    </row>
    <row r="130" spans="1:5" ht="15">
      <c r="A130" s="99" t="s">
        <v>63</v>
      </c>
      <c r="D130" s="126">
        <f>249/12</f>
        <v>20.75</v>
      </c>
      <c r="E130" t="s">
        <v>66</v>
      </c>
    </row>
    <row r="131" spans="1:5" ht="15">
      <c r="A131" s="99" t="s">
        <v>84</v>
      </c>
      <c r="D131" s="49">
        <v>365</v>
      </c>
      <c r="E131" t="s">
        <v>66</v>
      </c>
    </row>
    <row r="134" ht="19.5">
      <c r="A134" s="59" t="s">
        <v>87</v>
      </c>
    </row>
    <row r="136" spans="1:5" ht="12.75">
      <c r="A136" s="1" t="s">
        <v>88</v>
      </c>
      <c r="D136" s="41">
        <f>+D127*D128*D129</f>
        <v>328</v>
      </c>
      <c r="E136" t="s">
        <v>0</v>
      </c>
    </row>
    <row r="137" ht="12.75">
      <c r="A137" s="229" t="s">
        <v>193</v>
      </c>
    </row>
    <row r="138" spans="1:5" ht="12.75">
      <c r="A138" s="230" t="s">
        <v>194</v>
      </c>
      <c r="D138" s="41">
        <f>+D136*(I11-1)</f>
        <v>124.63999999999996</v>
      </c>
      <c r="E138" t="s">
        <v>94</v>
      </c>
    </row>
    <row r="139" spans="1:9" ht="12.75">
      <c r="A139" s="230" t="s">
        <v>195</v>
      </c>
      <c r="D139" s="127">
        <v>333</v>
      </c>
      <c r="E139" t="s">
        <v>94</v>
      </c>
      <c r="F139" s="248" t="s">
        <v>91</v>
      </c>
      <c r="G139" s="249"/>
      <c r="H139" s="249"/>
      <c r="I139" s="250"/>
    </row>
    <row r="140" spans="6:9" ht="12.75">
      <c r="F140" s="133">
        <f>ROUND(+A18/D127/D128/D129,0)</f>
        <v>190</v>
      </c>
      <c r="G140" s="2" t="s">
        <v>66</v>
      </c>
      <c r="H140" s="50">
        <f>+F140/D130</f>
        <v>9.156626506024097</v>
      </c>
      <c r="I140" s="2" t="s">
        <v>92</v>
      </c>
    </row>
    <row r="142" spans="1:5" ht="12.75">
      <c r="A142" s="1" t="s">
        <v>196</v>
      </c>
      <c r="D142" s="127">
        <v>260</v>
      </c>
      <c r="E142" t="s">
        <v>0</v>
      </c>
    </row>
    <row r="144" spans="1:5" ht="12.75">
      <c r="A144" s="1" t="s">
        <v>89</v>
      </c>
      <c r="D144" s="41">
        <f>+C18-F140*D142-E236</f>
        <v>17198.839285714286</v>
      </c>
      <c r="E144" t="s">
        <v>0</v>
      </c>
    </row>
    <row r="145" spans="1:5" ht="12.75">
      <c r="A145" s="227" t="s">
        <v>100</v>
      </c>
      <c r="C145" s="2"/>
      <c r="D145" s="127">
        <v>50</v>
      </c>
      <c r="E145" s="79" t="s">
        <v>0</v>
      </c>
    </row>
    <row r="146" spans="1:9" ht="12.75">
      <c r="A146" s="228" t="s">
        <v>90</v>
      </c>
      <c r="B146" s="129"/>
      <c r="C146" s="130"/>
      <c r="D146" s="131">
        <f>+D144-D145</f>
        <v>17148.839285714286</v>
      </c>
      <c r="E146" s="10" t="s">
        <v>0</v>
      </c>
      <c r="F146" s="248" t="s">
        <v>93</v>
      </c>
      <c r="G146" s="249"/>
      <c r="H146" s="249"/>
      <c r="I146" s="250"/>
    </row>
    <row r="147" spans="1:9" ht="12.75">
      <c r="A147" s="100" t="s">
        <v>202</v>
      </c>
      <c r="B147" s="10"/>
      <c r="C147" s="10"/>
      <c r="D147" s="132">
        <f>333/2</f>
        <v>166.5</v>
      </c>
      <c r="E147" s="10" t="s">
        <v>95</v>
      </c>
      <c r="F147" s="133">
        <f>ROUND(D146/D147/D129,0)</f>
        <v>51</v>
      </c>
      <c r="G147" s="2" t="s">
        <v>66</v>
      </c>
      <c r="H147" s="50">
        <f>+F147/D130</f>
        <v>2.4578313253012047</v>
      </c>
      <c r="I147" s="2" t="s">
        <v>92</v>
      </c>
    </row>
    <row r="148" spans="1:9" ht="12.75">
      <c r="A148" s="134"/>
      <c r="B148" s="10"/>
      <c r="C148" s="223"/>
      <c r="D148" s="224"/>
      <c r="E148" s="223"/>
      <c r="F148" s="225"/>
      <c r="G148" s="205"/>
      <c r="H148" s="226"/>
      <c r="I148" s="2"/>
    </row>
    <row r="151" ht="12.75">
      <c r="H151" s="37"/>
    </row>
    <row r="152" ht="19.5">
      <c r="A152" s="59" t="s">
        <v>204</v>
      </c>
    </row>
    <row r="154" ht="12.75">
      <c r="A154" s="1" t="s">
        <v>96</v>
      </c>
    </row>
    <row r="155" ht="12.75">
      <c r="A155" s="1" t="str">
        <f>CONCATENATE("Assuming that all stopes have the same configuration, the production time of ",F140," days divided by the final mucking time of ",F147," days will allow you to calculate")</f>
        <v>Assuming that all stopes have the same configuration, the production time of 190 days divided by the final mucking time of 51 days will allow you to calculate</v>
      </c>
    </row>
    <row r="156" spans="1:7" ht="12.75">
      <c r="A156" s="1" t="s">
        <v>97</v>
      </c>
      <c r="F156" s="60">
        <f>ROUND(+H140/H147,2)</f>
        <v>3.73</v>
      </c>
      <c r="G156" t="s">
        <v>98</v>
      </c>
    </row>
    <row r="157" ht="12.75">
      <c r="A157" s="1" t="s">
        <v>99</v>
      </c>
    </row>
    <row r="158" ht="12.75">
      <c r="A158" s="1" t="str">
        <f>CONCATENATE("Which means that the production will be optimal if ",F156," stopes are active for each stope in the final mucking phase.")</f>
        <v>Which means that the production will be optimal if 3.73 stopes are active for each stope in the final mucking phase.</v>
      </c>
    </row>
    <row r="159" spans="1:9" ht="30" customHeight="1">
      <c r="A159" s="53"/>
      <c r="B159" s="53"/>
      <c r="C159" s="53"/>
      <c r="D159" s="53"/>
      <c r="F159" s="53"/>
      <c r="G159" s="53"/>
      <c r="H159" s="231"/>
      <c r="I159" s="231"/>
    </row>
    <row r="160" spans="1:9" ht="30" customHeight="1">
      <c r="A160" s="53"/>
      <c r="B160" s="53"/>
      <c r="C160" s="53"/>
      <c r="D160" s="53"/>
      <c r="E160" s="218" t="s">
        <v>101</v>
      </c>
      <c r="F160" s="53"/>
      <c r="G160" s="53"/>
      <c r="H160" s="279" t="s">
        <v>102</v>
      </c>
      <c r="I160" s="280"/>
    </row>
    <row r="161" spans="1:9" ht="15">
      <c r="A161" s="53" t="s">
        <v>103</v>
      </c>
      <c r="B161" s="53"/>
      <c r="C161" s="53"/>
      <c r="D161" s="153">
        <v>2</v>
      </c>
      <c r="E161" s="54">
        <f>ROUND(+D161*D142,0)</f>
        <v>520</v>
      </c>
      <c r="F161" s="53"/>
      <c r="G161" s="53"/>
      <c r="H161" s="247">
        <f>ROUND(E161*$D$130*12/D131,0)</f>
        <v>355</v>
      </c>
      <c r="I161" s="247"/>
    </row>
    <row r="162" spans="1:9" ht="15.75" thickBot="1">
      <c r="A162" s="53" t="s">
        <v>203</v>
      </c>
      <c r="B162" s="53"/>
      <c r="C162" s="53"/>
      <c r="D162" s="55">
        <f>+D161/F156</f>
        <v>0.5361930294906166</v>
      </c>
      <c r="E162" s="154">
        <f>ROUND(+D147*D129*D162,0)</f>
        <v>179</v>
      </c>
      <c r="F162" s="53"/>
      <c r="G162" s="53"/>
      <c r="H162" s="263">
        <f>ROUND(E162*$D$130*12/D131,0)</f>
        <v>122</v>
      </c>
      <c r="I162" s="263"/>
    </row>
    <row r="163" spans="1:9" ht="16.5" thickBot="1">
      <c r="A163" s="53"/>
      <c r="B163" s="53"/>
      <c r="C163" s="53"/>
      <c r="D163" s="53"/>
      <c r="E163" s="155">
        <f>SUM(E161:E162)</f>
        <v>699</v>
      </c>
      <c r="F163" s="53"/>
      <c r="G163" s="53"/>
      <c r="H163" s="267">
        <f>SUM(H161:H162)</f>
        <v>477</v>
      </c>
      <c r="I163" s="268"/>
    </row>
    <row r="164" spans="2:9" ht="15.75">
      <c r="B164" s="53"/>
      <c r="C164" s="53"/>
      <c r="D164" s="53"/>
      <c r="E164" s="53"/>
      <c r="F164" s="53"/>
      <c r="G164" s="53"/>
      <c r="H164" s="53"/>
      <c r="I164" s="156"/>
    </row>
    <row r="165" ht="12.75">
      <c r="A165" s="42" t="s">
        <v>104</v>
      </c>
    </row>
    <row r="167" ht="19.5">
      <c r="A167" s="59" t="s">
        <v>105</v>
      </c>
    </row>
    <row r="169" ht="12.75">
      <c r="A169" s="1" t="s">
        <v>106</v>
      </c>
    </row>
    <row r="170" ht="12.75">
      <c r="A170" s="1" t="str">
        <f>CONCATENATE("Assuming that all stopes have the same configuration, the production time of ",F140," days divided by the development time of ",H120," days will allow you to calculate")</f>
        <v>Assuming that all stopes have the same configuration, the production time of 190 days divided by the development time of 24 days will allow you to calculate</v>
      </c>
    </row>
    <row r="171" spans="1:7" ht="12.75">
      <c r="A171" s="1" t="s">
        <v>107</v>
      </c>
      <c r="F171" s="60">
        <f>ROUND((F140)/H120,2)</f>
        <v>7.92</v>
      </c>
      <c r="G171" t="s">
        <v>108</v>
      </c>
    </row>
    <row r="172" ht="12.75">
      <c r="A172" s="1" t="str">
        <f>CONCATENATE("Which means that the production will be optimal if ",F171," stopes are active for each stope in the development phase.")</f>
        <v>Which means that the production will be optimal if 7.92 stopes are active for each stope in the development phase.</v>
      </c>
    </row>
    <row r="173" ht="12.75">
      <c r="A173" s="1"/>
    </row>
    <row r="174" spans="1:9" ht="30" customHeight="1">
      <c r="A174" s="53"/>
      <c r="B174" s="53"/>
      <c r="C174" s="53"/>
      <c r="D174" s="53"/>
      <c r="E174" s="232"/>
      <c r="F174" s="53"/>
      <c r="G174" s="53"/>
      <c r="H174" s="281" t="s">
        <v>110</v>
      </c>
      <c r="I174" s="282"/>
    </row>
    <row r="175" spans="1:9" ht="30" customHeight="1">
      <c r="A175" s="53" t="s">
        <v>103</v>
      </c>
      <c r="B175" s="53"/>
      <c r="C175" s="53"/>
      <c r="D175" s="82">
        <f>+D161</f>
        <v>2</v>
      </c>
      <c r="E175" s="233" t="s">
        <v>109</v>
      </c>
      <c r="F175" s="53"/>
      <c r="G175" s="53"/>
      <c r="H175" s="283"/>
      <c r="I175" s="284"/>
    </row>
    <row r="176" spans="1:9" ht="15.75">
      <c r="A176" s="81" t="s">
        <v>111</v>
      </c>
      <c r="B176" s="53"/>
      <c r="C176" s="53"/>
      <c r="D176" s="83">
        <f>+D175/F171</f>
        <v>0.25252525252525254</v>
      </c>
      <c r="E176" s="82">
        <f>ROUND((SUMPRODUCT(B63:B65,C63:C65)+SUMPRODUCT(B70:B81,C70:C81))*D176/H120,0)</f>
        <v>62</v>
      </c>
      <c r="F176" s="53"/>
      <c r="G176" s="53"/>
      <c r="H176" s="269">
        <f>ROUND(E176*$D$130*12/D131,0)</f>
        <v>42</v>
      </c>
      <c r="I176" s="269"/>
    </row>
    <row r="177" spans="1:7" ht="15">
      <c r="A177" s="53"/>
      <c r="B177" s="53"/>
      <c r="C177" s="53"/>
      <c r="D177" s="53"/>
      <c r="F177" s="53"/>
      <c r="G177" s="53"/>
    </row>
    <row r="178" ht="12.75">
      <c r="A178" s="42" t="s">
        <v>112</v>
      </c>
    </row>
    <row r="181" spans="1:9" ht="24.75">
      <c r="A181" s="101" t="s">
        <v>113</v>
      </c>
      <c r="B181" s="5"/>
      <c r="C181" s="5"/>
      <c r="E181" s="5"/>
      <c r="F181" s="5"/>
      <c r="H181" s="5"/>
      <c r="I181" s="5"/>
    </row>
    <row r="183" ht="19.5">
      <c r="A183" s="59" t="s">
        <v>114</v>
      </c>
    </row>
    <row r="184" ht="12.75">
      <c r="E184" s="5" t="s">
        <v>53</v>
      </c>
    </row>
    <row r="185" spans="1:5" ht="12.75">
      <c r="A185" s="10" t="s">
        <v>115</v>
      </c>
      <c r="E185" s="162">
        <f>+F249</f>
        <v>66548.83928571429</v>
      </c>
    </row>
    <row r="187" spans="2:5" ht="12.75">
      <c r="B187" s="5" t="s">
        <v>47</v>
      </c>
      <c r="C187" s="5" t="s">
        <v>27</v>
      </c>
      <c r="D187" s="5" t="s">
        <v>28</v>
      </c>
      <c r="E187" s="5" t="s">
        <v>53</v>
      </c>
    </row>
    <row r="188" spans="1:5" ht="12.75">
      <c r="A188" s="100" t="s">
        <v>116</v>
      </c>
      <c r="B188" s="110">
        <v>92.5</v>
      </c>
      <c r="C188" s="110">
        <v>3.1</v>
      </c>
      <c r="D188" s="110">
        <v>2.7</v>
      </c>
      <c r="E188" s="162">
        <f>B188*C188*D188*$H$11</f>
        <v>2903.34375</v>
      </c>
    </row>
    <row r="189" spans="1:5" ht="12.75">
      <c r="A189" s="100" t="s">
        <v>35</v>
      </c>
      <c r="B189" s="110">
        <v>6</v>
      </c>
      <c r="C189" s="110">
        <v>3.1</v>
      </c>
      <c r="D189" s="110">
        <v>2.7</v>
      </c>
      <c r="E189" s="162">
        <f>B189*C189*D189*$H$11</f>
        <v>188.32500000000002</v>
      </c>
    </row>
    <row r="190" spans="1:5" ht="12.75">
      <c r="A190" s="166" t="s">
        <v>117</v>
      </c>
      <c r="B190" s="110"/>
      <c r="C190" s="110"/>
      <c r="D190" s="110"/>
      <c r="E190" s="162">
        <f>B190*C190*D190*$H$11</f>
        <v>0</v>
      </c>
    </row>
    <row r="191" ht="13.5" thickBot="1"/>
    <row r="192" spans="4:9" ht="13.5" thickBot="1">
      <c r="D192" s="170" t="s">
        <v>118</v>
      </c>
      <c r="E192" s="163">
        <f>SUM(E185:E189)</f>
        <v>69640.50803571429</v>
      </c>
      <c r="G192" s="165" t="s">
        <v>119</v>
      </c>
      <c r="H192" s="164">
        <f>+E192/H11</f>
        <v>18570.802142857145</v>
      </c>
      <c r="I192" t="s">
        <v>120</v>
      </c>
    </row>
    <row r="194" ht="19.5">
      <c r="A194" s="59" t="s">
        <v>121</v>
      </c>
    </row>
    <row r="195" spans="4:8" ht="12.75">
      <c r="D195" s="274" t="s">
        <v>122</v>
      </c>
      <c r="E195" s="274"/>
      <c r="F195" s="274" t="s">
        <v>123</v>
      </c>
      <c r="G195" s="274"/>
      <c r="H195" s="48" t="s">
        <v>124</v>
      </c>
    </row>
    <row r="196" spans="1:8" ht="12.75">
      <c r="A196" s="10" t="s">
        <v>125</v>
      </c>
      <c r="D196" s="272">
        <v>1</v>
      </c>
      <c r="E196" s="272"/>
      <c r="F196" s="272">
        <v>5</v>
      </c>
      <c r="G196" s="272"/>
      <c r="H196" s="167">
        <f>+F196*D196</f>
        <v>5</v>
      </c>
    </row>
    <row r="198" spans="1:7" ht="12.75">
      <c r="A198" s="10" t="s">
        <v>197</v>
      </c>
      <c r="C198" t="s">
        <v>126</v>
      </c>
      <c r="F198" s="110">
        <v>70</v>
      </c>
      <c r="G198" t="s">
        <v>130</v>
      </c>
    </row>
    <row r="199" spans="1:7" ht="12.75">
      <c r="A199" s="10"/>
      <c r="C199" t="s">
        <v>127</v>
      </c>
      <c r="F199" s="110">
        <v>2.2</v>
      </c>
      <c r="G199" t="s">
        <v>7</v>
      </c>
    </row>
    <row r="200" spans="3:7" ht="12.75">
      <c r="C200" t="s">
        <v>128</v>
      </c>
      <c r="F200" s="110">
        <v>8</v>
      </c>
      <c r="G200" t="s">
        <v>131</v>
      </c>
    </row>
    <row r="201" spans="3:8" ht="12.75">
      <c r="C201" t="s">
        <v>129</v>
      </c>
      <c r="F201" s="41">
        <f>+H192/F198*F199/F200</f>
        <v>72.95672270408164</v>
      </c>
      <c r="G201" s="192" t="s">
        <v>65</v>
      </c>
      <c r="H201" s="48" t="s">
        <v>124</v>
      </c>
    </row>
    <row r="202" spans="3:8" ht="12.75">
      <c r="C202" t="s">
        <v>62</v>
      </c>
      <c r="F202" s="127">
        <v>3</v>
      </c>
      <c r="G202" t="s">
        <v>132</v>
      </c>
      <c r="H202" s="168">
        <f>+F201/F202</f>
        <v>24.318907568027214</v>
      </c>
    </row>
    <row r="204" spans="1:4" ht="15">
      <c r="A204" s="52" t="s">
        <v>133</v>
      </c>
      <c r="C204" s="168">
        <f>+H196+H202</f>
        <v>29.318907568027214</v>
      </c>
      <c r="D204" s="10" t="s">
        <v>66</v>
      </c>
    </row>
    <row r="205" ht="12.75">
      <c r="C205" s="5" t="s">
        <v>5</v>
      </c>
    </row>
    <row r="206" spans="3:5" ht="12.75">
      <c r="C206" s="169">
        <f>+C204/D87</f>
        <v>1.4095628638474622</v>
      </c>
      <c r="D206" s="10" t="s">
        <v>92</v>
      </c>
      <c r="E206" t="s">
        <v>134</v>
      </c>
    </row>
    <row r="208" ht="24.75">
      <c r="A208" s="101" t="s">
        <v>135</v>
      </c>
    </row>
    <row r="210" ht="15.75">
      <c r="D210" s="86"/>
    </row>
    <row r="211" ht="18">
      <c r="A211" s="234" t="s">
        <v>136</v>
      </c>
    </row>
    <row r="212" ht="12" customHeight="1" thickBot="1">
      <c r="A212" s="56"/>
    </row>
    <row r="213" spans="1:9" ht="18">
      <c r="A213" s="52"/>
      <c r="C213" s="270" t="s">
        <v>50</v>
      </c>
      <c r="D213" s="271"/>
      <c r="E213" s="270" t="s">
        <v>49</v>
      </c>
      <c r="F213" s="273"/>
      <c r="G213" s="271"/>
      <c r="H213" s="270" t="s">
        <v>1</v>
      </c>
      <c r="I213" s="271"/>
    </row>
    <row r="214" spans="1:9" ht="15">
      <c r="A214" s="52"/>
      <c r="C214" s="137" t="s">
        <v>12</v>
      </c>
      <c r="D214" s="138" t="s">
        <v>53</v>
      </c>
      <c r="E214" s="137" t="s">
        <v>12</v>
      </c>
      <c r="F214" s="48" t="s">
        <v>53</v>
      </c>
      <c r="G214" s="138" t="s">
        <v>24</v>
      </c>
      <c r="H214" s="137" t="s">
        <v>12</v>
      </c>
      <c r="I214" s="138" t="s">
        <v>53</v>
      </c>
    </row>
    <row r="215" spans="1:9" ht="15">
      <c r="A215" s="80" t="s">
        <v>116</v>
      </c>
      <c r="C215" s="139">
        <f>+F63+F70</f>
        <v>0</v>
      </c>
      <c r="D215" s="89">
        <f>ROUND(F63*G63+F70*G70,0)</f>
        <v>0</v>
      </c>
      <c r="E215" s="140">
        <f>+B63+B70</f>
        <v>185</v>
      </c>
      <c r="F215" s="64">
        <f>ROUND(+B63*C63+B70*C70,0)</f>
        <v>5421</v>
      </c>
      <c r="G215" s="145">
        <f>IF(F215=0,0,ROUND((B63*C63*E63+B70*C70*E70)/(B63*C63+B70*C70),2))</f>
        <v>4.29</v>
      </c>
      <c r="H215" s="140">
        <f aca="true" t="shared" si="12" ref="H215:I219">+C215+E215</f>
        <v>185</v>
      </c>
      <c r="I215" s="150">
        <f t="shared" si="12"/>
        <v>5421</v>
      </c>
    </row>
    <row r="216" spans="1:9" ht="15">
      <c r="A216" s="80" t="s">
        <v>35</v>
      </c>
      <c r="C216" s="140">
        <f>+F71</f>
        <v>0</v>
      </c>
      <c r="D216" s="98">
        <f>ROUND(F71*G71,0)</f>
        <v>0</v>
      </c>
      <c r="E216" s="140">
        <f>+B71</f>
        <v>0</v>
      </c>
      <c r="F216" s="107">
        <f>ROUND(+C71*B71,0)</f>
        <v>0</v>
      </c>
      <c r="G216" s="146">
        <f>+E71</f>
        <v>0</v>
      </c>
      <c r="H216" s="140">
        <f t="shared" si="12"/>
        <v>0</v>
      </c>
      <c r="I216" s="150">
        <f t="shared" si="12"/>
        <v>0</v>
      </c>
    </row>
    <row r="217" spans="1:9" ht="15">
      <c r="A217" s="80" t="s">
        <v>137</v>
      </c>
      <c r="C217" s="140">
        <f>+F72+F73</f>
        <v>0</v>
      </c>
      <c r="D217" s="190">
        <f>ROUND(SUMPRODUCT(F72:F73,G72:G73),0)</f>
        <v>0</v>
      </c>
      <c r="E217" s="140">
        <f>+B72+B73</f>
        <v>0</v>
      </c>
      <c r="F217" s="107">
        <f>ROUND(SUMPRODUCT(B72:B73,C72:C73),0)</f>
        <v>0</v>
      </c>
      <c r="G217" s="147">
        <f>IF(F217=0,0,ROUND(SUMPRODUCT(B72:B73,C72:C73,E72:E73)/F217,2))</f>
        <v>0</v>
      </c>
      <c r="H217" s="140">
        <f t="shared" si="12"/>
        <v>0</v>
      </c>
      <c r="I217" s="150">
        <f t="shared" si="12"/>
        <v>0</v>
      </c>
    </row>
    <row r="218" spans="1:9" ht="15">
      <c r="A218" s="80" t="s">
        <v>138</v>
      </c>
      <c r="C218" s="140">
        <f>SUM(F76:F79)</f>
        <v>0</v>
      </c>
      <c r="D218" s="98">
        <f>ROUND(SUMPRODUCT(F76:F79,G76:G79),0)</f>
        <v>0</v>
      </c>
      <c r="E218" s="140">
        <f>SUM(B76:B79)</f>
        <v>7.5</v>
      </c>
      <c r="F218" s="107">
        <f>ROUND(SUMPRODUCT(B76:B79,C76:C79),0)</f>
        <v>220</v>
      </c>
      <c r="G218" s="147">
        <f>IF(F218=0,0,ROUND(SUMPRODUCT(B76:B79,C76:C79,E76:E79)/F218,2))</f>
        <v>4.29</v>
      </c>
      <c r="H218" s="140">
        <f t="shared" si="12"/>
        <v>7.5</v>
      </c>
      <c r="I218" s="150">
        <f t="shared" si="12"/>
        <v>220</v>
      </c>
    </row>
    <row r="219" spans="1:9" ht="15">
      <c r="A219" s="80" t="s">
        <v>139</v>
      </c>
      <c r="C219" s="141">
        <f>+F64+F65+F74+F75+F80+F81</f>
        <v>0</v>
      </c>
      <c r="D219" s="142">
        <f>ROUND(F64*G64+F65*G65+F74*G74+F75*G75+F80*G80+F81*G81,0)</f>
        <v>0</v>
      </c>
      <c r="E219" s="141">
        <f>+B64+B65+B74+B75+B80+B81</f>
        <v>7.5</v>
      </c>
      <c r="F219" s="108">
        <f>ROUND(B64*C64+B65*C65+B74*C74+B75*C75+B80*C80+B81*C81,0)</f>
        <v>220</v>
      </c>
      <c r="G219" s="148">
        <f>IF(F219=0,0,ROUND((B64*C64*E64+B65*C65*E65+B74*C74*E74+B75*C75*E75+B80*C80*E80+B81*C81*E81)/(B64*C64+B65*C65+B74*C74+B75*C75+B80*C80+B81*C81),2))</f>
        <v>4.29</v>
      </c>
      <c r="H219" s="141">
        <f t="shared" si="12"/>
        <v>7.5</v>
      </c>
      <c r="I219" s="151">
        <f t="shared" si="12"/>
        <v>220</v>
      </c>
    </row>
    <row r="220" spans="3:9" ht="13.5" thickBot="1">
      <c r="C220" s="143">
        <f>SUM(C215:C219)</f>
        <v>0</v>
      </c>
      <c r="D220" s="144">
        <f>SUM(D215:D219)</f>
        <v>0</v>
      </c>
      <c r="E220" s="143">
        <f>SUM(E215:E219)</f>
        <v>200</v>
      </c>
      <c r="F220" s="149">
        <f>SUM(F215:F219)</f>
        <v>5861</v>
      </c>
      <c r="G220" s="144">
        <f>ROUND((G215*F215+G216*F216+G217*F217+G218*F218+G219*F219)/F220,2)</f>
        <v>4.29</v>
      </c>
      <c r="H220" s="152">
        <f>SUM(H215:H219)</f>
        <v>200</v>
      </c>
      <c r="I220" s="144">
        <f>SUM(I215:I219)</f>
        <v>5861</v>
      </c>
    </row>
    <row r="221" ht="12.75">
      <c r="E221" s="37"/>
    </row>
    <row r="222" spans="5:8" ht="15.75">
      <c r="E222" s="37"/>
      <c r="G222" s="128">
        <f>ROUND(F220*G220*G246/32.1034,0)</f>
        <v>752</v>
      </c>
      <c r="H222" s="88" t="s">
        <v>140</v>
      </c>
    </row>
    <row r="223" spans="5:8" ht="15.75">
      <c r="E223" s="37"/>
      <c r="H223" s="87"/>
    </row>
    <row r="224" spans="5:8" ht="15.75">
      <c r="E224" s="37"/>
      <c r="H224" s="87"/>
    </row>
    <row r="225" ht="16.5" thickBot="1">
      <c r="A225" s="81" t="s">
        <v>141</v>
      </c>
    </row>
    <row r="226" spans="3:7" ht="15.75">
      <c r="C226" s="264" t="s">
        <v>142</v>
      </c>
      <c r="D226" s="265"/>
      <c r="E226" s="264" t="s">
        <v>143</v>
      </c>
      <c r="F226" s="266"/>
      <c r="G226" s="200" t="s">
        <v>50</v>
      </c>
    </row>
    <row r="227" spans="3:7" ht="12.75">
      <c r="C227" s="137" t="s">
        <v>53</v>
      </c>
      <c r="D227" s="138" t="s">
        <v>24</v>
      </c>
      <c r="E227" s="137" t="s">
        <v>53</v>
      </c>
      <c r="F227" s="138" t="s">
        <v>24</v>
      </c>
      <c r="G227" s="174" t="s">
        <v>53</v>
      </c>
    </row>
    <row r="228" spans="1:7" ht="15">
      <c r="A228" s="80" t="s">
        <v>56</v>
      </c>
      <c r="C228" s="175">
        <f aca="true" t="shared" si="13" ref="C228:C235">+B72*C72</f>
        <v>0</v>
      </c>
      <c r="D228" s="176">
        <f aca="true" t="shared" si="14" ref="D228:D235">+E72</f>
        <v>0</v>
      </c>
      <c r="E228" s="175">
        <f aca="true" t="shared" si="15" ref="E228:E235">+C228/(1+D72)</f>
        <v>0</v>
      </c>
      <c r="F228" s="177">
        <f aca="true" t="shared" si="16" ref="F228:F235">IF(E228=0,0,D228*C228/E228)</f>
        <v>0</v>
      </c>
      <c r="G228" s="178">
        <f aca="true" t="shared" si="17" ref="G228:G235">+C228-E228</f>
        <v>0</v>
      </c>
    </row>
    <row r="229" spans="1:7" ht="15">
      <c r="A229" s="80" t="s">
        <v>60</v>
      </c>
      <c r="C229" s="175">
        <f t="shared" si="13"/>
        <v>0</v>
      </c>
      <c r="D229" s="176">
        <f t="shared" si="14"/>
        <v>0</v>
      </c>
      <c r="E229" s="175">
        <f t="shared" si="15"/>
        <v>0</v>
      </c>
      <c r="F229" s="177">
        <f t="shared" si="16"/>
        <v>0</v>
      </c>
      <c r="G229" s="178">
        <f t="shared" si="17"/>
        <v>0</v>
      </c>
    </row>
    <row r="230" spans="1:7" ht="15">
      <c r="A230" s="80" t="s">
        <v>57</v>
      </c>
      <c r="C230" s="175">
        <f t="shared" si="13"/>
        <v>0</v>
      </c>
      <c r="D230" s="176">
        <f t="shared" si="14"/>
        <v>0</v>
      </c>
      <c r="E230" s="175">
        <f t="shared" si="15"/>
        <v>0</v>
      </c>
      <c r="F230" s="177">
        <f t="shared" si="16"/>
        <v>0</v>
      </c>
      <c r="G230" s="178">
        <f t="shared" si="17"/>
        <v>0</v>
      </c>
    </row>
    <row r="231" spans="1:7" ht="15">
      <c r="A231" s="80" t="s">
        <v>57</v>
      </c>
      <c r="C231" s="175">
        <f t="shared" si="13"/>
        <v>0</v>
      </c>
      <c r="D231" s="176">
        <f t="shared" si="14"/>
        <v>0</v>
      </c>
      <c r="E231" s="175">
        <f t="shared" si="15"/>
        <v>0</v>
      </c>
      <c r="F231" s="177">
        <f t="shared" si="16"/>
        <v>0</v>
      </c>
      <c r="G231" s="178">
        <f t="shared" si="17"/>
        <v>0</v>
      </c>
    </row>
    <row r="232" spans="1:7" ht="15">
      <c r="A232" s="80" t="s">
        <v>38</v>
      </c>
      <c r="C232" s="175">
        <f t="shared" si="13"/>
        <v>219.75</v>
      </c>
      <c r="D232" s="176">
        <f t="shared" si="14"/>
        <v>4.29</v>
      </c>
      <c r="E232" s="175">
        <f t="shared" si="15"/>
        <v>209.28571428571428</v>
      </c>
      <c r="F232" s="177">
        <f t="shared" si="16"/>
        <v>4.5045</v>
      </c>
      <c r="G232" s="178">
        <f t="shared" si="17"/>
        <v>10.464285714285722</v>
      </c>
    </row>
    <row r="233" spans="1:7" ht="15">
      <c r="A233" s="80" t="s">
        <v>39</v>
      </c>
      <c r="C233" s="175">
        <f t="shared" si="13"/>
        <v>0</v>
      </c>
      <c r="D233" s="176">
        <f t="shared" si="14"/>
        <v>0</v>
      </c>
      <c r="E233" s="175">
        <f t="shared" si="15"/>
        <v>0</v>
      </c>
      <c r="F233" s="177">
        <f t="shared" si="16"/>
        <v>0</v>
      </c>
      <c r="G233" s="178">
        <f t="shared" si="17"/>
        <v>0</v>
      </c>
    </row>
    <row r="234" spans="1:7" ht="15">
      <c r="A234" s="80" t="s">
        <v>40</v>
      </c>
      <c r="C234" s="175">
        <f t="shared" si="13"/>
        <v>0</v>
      </c>
      <c r="D234" s="176">
        <f t="shared" si="14"/>
        <v>0</v>
      </c>
      <c r="E234" s="175">
        <f t="shared" si="15"/>
        <v>0</v>
      </c>
      <c r="F234" s="177">
        <f t="shared" si="16"/>
        <v>0</v>
      </c>
      <c r="G234" s="178">
        <f t="shared" si="17"/>
        <v>0</v>
      </c>
    </row>
    <row r="235" spans="1:7" ht="15">
      <c r="A235" s="80" t="s">
        <v>58</v>
      </c>
      <c r="C235" s="175">
        <f t="shared" si="13"/>
        <v>0</v>
      </c>
      <c r="D235" s="176">
        <f t="shared" si="14"/>
        <v>0</v>
      </c>
      <c r="E235" s="175">
        <f t="shared" si="15"/>
        <v>0</v>
      </c>
      <c r="F235" s="177">
        <f t="shared" si="16"/>
        <v>0</v>
      </c>
      <c r="G235" s="178">
        <f t="shared" si="17"/>
        <v>0</v>
      </c>
    </row>
    <row r="236" spans="3:7" ht="13.5" thickBot="1">
      <c r="C236" s="179">
        <f>SUM(C228:C235)</f>
        <v>219.75</v>
      </c>
      <c r="D236" s="180">
        <f>IF(C236=0,0,SUMPRODUCT(C228:C235,D228:D235)/C236)</f>
        <v>4.29</v>
      </c>
      <c r="E236" s="181">
        <f>SUM(E228:E235)</f>
        <v>209.28571428571428</v>
      </c>
      <c r="F236" s="182">
        <f>IF(E236=0,0,SUMPRODUCT(E228:E235,F228:F235)/E236)</f>
        <v>4.5045</v>
      </c>
      <c r="G236" s="183">
        <f>SUM(G228:G235)</f>
        <v>10.464285714285722</v>
      </c>
    </row>
    <row r="237" spans="5:7" ht="15.75">
      <c r="E237" s="37"/>
      <c r="G237" s="87"/>
    </row>
    <row r="238" spans="5:7" ht="15.75">
      <c r="E238" s="37"/>
      <c r="F238" s="128">
        <f>ROUND(E236*F236*$G$246/32.1034,0)</f>
        <v>28</v>
      </c>
      <c r="G238" s="88" t="s">
        <v>140</v>
      </c>
    </row>
    <row r="239" spans="5:7" ht="15.75">
      <c r="E239" s="37"/>
      <c r="G239" s="87"/>
    </row>
    <row r="240" spans="5:7" ht="15.75">
      <c r="E240" s="37"/>
      <c r="G240" s="87"/>
    </row>
    <row r="241" ht="18">
      <c r="A241" s="234" t="s">
        <v>144</v>
      </c>
    </row>
    <row r="242" spans="1:8" ht="15.75">
      <c r="A242" s="53"/>
      <c r="B242" s="53"/>
      <c r="C242" s="53"/>
      <c r="D242" s="53"/>
      <c r="F242" s="87" t="s">
        <v>53</v>
      </c>
      <c r="G242" s="87" t="s">
        <v>24</v>
      </c>
      <c r="H242" s="87" t="s">
        <v>145</v>
      </c>
    </row>
    <row r="243" spans="1:8" ht="15.75">
      <c r="A243" s="81" t="s">
        <v>47</v>
      </c>
      <c r="B243" s="135">
        <f>+A11</f>
        <v>92.5</v>
      </c>
      <c r="C243" s="53" t="s">
        <v>149</v>
      </c>
      <c r="D243" s="235" t="s">
        <v>150</v>
      </c>
      <c r="F243" s="84">
        <f>+A18-E236</f>
        <v>62228.21428571428</v>
      </c>
      <c r="G243" s="83">
        <f>+(D18*A18-E236*F236)/F243</f>
        <v>4.270242825288908</v>
      </c>
      <c r="H243" s="128">
        <f>ROUND(+F243*G243*$G$246/32.1034,0)</f>
        <v>7946</v>
      </c>
    </row>
    <row r="244" spans="1:7" ht="15.75">
      <c r="A244" s="81" t="s">
        <v>27</v>
      </c>
      <c r="B244" s="83">
        <f>+B11</f>
        <v>3</v>
      </c>
      <c r="C244" s="53" t="s">
        <v>149</v>
      </c>
      <c r="D244" s="235" t="s">
        <v>51</v>
      </c>
      <c r="F244" s="85">
        <f>+E18</f>
        <v>0.07</v>
      </c>
      <c r="G244" s="81"/>
    </row>
    <row r="245" spans="1:8" ht="15.75">
      <c r="A245" s="81" t="s">
        <v>146</v>
      </c>
      <c r="B245" s="135">
        <f>+C11</f>
        <v>60</v>
      </c>
      <c r="C245" s="53" t="s">
        <v>149</v>
      </c>
      <c r="D245" s="99" t="s">
        <v>151</v>
      </c>
      <c r="E245" s="9"/>
      <c r="F245" s="157">
        <f>+D145</f>
        <v>50</v>
      </c>
      <c r="G245" s="158">
        <f>+D18</f>
        <v>4.271028037383178</v>
      </c>
      <c r="H245" s="128">
        <f>ROUND(+F245*G245*$G$246/32.1034,0)</f>
        <v>6</v>
      </c>
    </row>
    <row r="246" spans="1:7" ht="15.75">
      <c r="A246" s="81" t="s">
        <v>147</v>
      </c>
      <c r="B246" s="82">
        <f>+D11</f>
        <v>90</v>
      </c>
      <c r="C246" s="53" t="s">
        <v>4</v>
      </c>
      <c r="D246" s="235" t="s">
        <v>152</v>
      </c>
      <c r="G246" s="241">
        <v>0.96</v>
      </c>
    </row>
    <row r="247" spans="1:3" ht="15.75">
      <c r="A247" s="88" t="s">
        <v>148</v>
      </c>
      <c r="B247" s="136">
        <f>+H11</f>
        <v>3.75</v>
      </c>
      <c r="C247" s="53" t="s">
        <v>7</v>
      </c>
    </row>
    <row r="248" spans="6:8" ht="15.75">
      <c r="F248" s="87" t="s">
        <v>53</v>
      </c>
      <c r="G248" s="87" t="s">
        <v>24</v>
      </c>
      <c r="H248" s="87" t="s">
        <v>145</v>
      </c>
    </row>
    <row r="249" spans="4:8" ht="15.75">
      <c r="D249" s="236" t="s">
        <v>153</v>
      </c>
      <c r="F249" s="84">
        <f>+C18-F245-E236</f>
        <v>66548.83928571429</v>
      </c>
      <c r="G249" s="83">
        <f>ROUND((D18*A18-F245*G245-E236*F236)/F249,2)</f>
        <v>3.99</v>
      </c>
      <c r="H249" s="128">
        <f>ROUND(+F249*G249*G246/32.1034,0)</f>
        <v>7940</v>
      </c>
    </row>
    <row r="250" spans="1:7" ht="15.75">
      <c r="A250" s="165"/>
      <c r="B250" t="s">
        <v>154</v>
      </c>
      <c r="E250" s="37"/>
      <c r="G250" s="87"/>
    </row>
    <row r="251" spans="2:7" ht="15.75">
      <c r="B251" t="s">
        <v>155</v>
      </c>
      <c r="E251" s="37"/>
      <c r="G251" s="87"/>
    </row>
    <row r="252" spans="5:7" ht="15.75">
      <c r="E252" s="37"/>
      <c r="G252" s="87"/>
    </row>
    <row r="253" spans="5:7" ht="15.75">
      <c r="E253" s="37"/>
      <c r="G253" s="87"/>
    </row>
    <row r="254" spans="1:7" ht="18">
      <c r="A254" s="234" t="s">
        <v>156</v>
      </c>
      <c r="E254" s="37"/>
      <c r="G254" s="87"/>
    </row>
    <row r="255" spans="6:8" ht="15.75">
      <c r="F255" s="87" t="s">
        <v>53</v>
      </c>
      <c r="G255" s="87" t="s">
        <v>24</v>
      </c>
      <c r="H255" s="87" t="s">
        <v>145</v>
      </c>
    </row>
    <row r="256" spans="5:8" ht="15.75">
      <c r="E256" s="156" t="s">
        <v>157</v>
      </c>
      <c r="F256" s="84">
        <f>+F220</f>
        <v>5861</v>
      </c>
      <c r="G256" s="83">
        <f>+G220</f>
        <v>4.29</v>
      </c>
      <c r="H256" s="128">
        <f>+G222</f>
        <v>752</v>
      </c>
    </row>
    <row r="257" spans="4:8" ht="16.5" thickBot="1">
      <c r="D257" s="86"/>
      <c r="E257" s="156" t="s">
        <v>158</v>
      </c>
      <c r="F257" s="184">
        <f>+F249</f>
        <v>66548.83928571429</v>
      </c>
      <c r="G257" s="185">
        <f>+G249</f>
        <v>3.99</v>
      </c>
      <c r="H257" s="186">
        <f>+H249</f>
        <v>7940</v>
      </c>
    </row>
    <row r="258" spans="4:8" ht="16.5" thickBot="1">
      <c r="D258" s="86"/>
      <c r="F258" s="187">
        <f>+F256+F257</f>
        <v>72409.83928571429</v>
      </c>
      <c r="G258" s="188">
        <f>+H258*32.1034/F258/G246</f>
        <v>4.01422703093905</v>
      </c>
      <c r="H258" s="189">
        <f>+H256+H257</f>
        <v>8692</v>
      </c>
    </row>
    <row r="260" spans="5:7" ht="15.75">
      <c r="E260" s="37"/>
      <c r="G260" s="87"/>
    </row>
    <row r="261" spans="5:7" ht="15.75">
      <c r="E261" s="37"/>
      <c r="G261" s="87"/>
    </row>
    <row r="262" spans="5:7" ht="15.75">
      <c r="E262" s="37"/>
      <c r="G262" s="87"/>
    </row>
    <row r="263" spans="5:7" ht="15.75">
      <c r="E263" s="37"/>
      <c r="G263" s="87"/>
    </row>
  </sheetData>
  <mergeCells count="38">
    <mergeCell ref="H32:H33"/>
    <mergeCell ref="H61:I61"/>
    <mergeCell ref="F139:I139"/>
    <mergeCell ref="G32:G33"/>
    <mergeCell ref="H68:I68"/>
    <mergeCell ref="H120:I120"/>
    <mergeCell ref="F61:G61"/>
    <mergeCell ref="H118:I118"/>
    <mergeCell ref="H119:I119"/>
    <mergeCell ref="A101:B101"/>
    <mergeCell ref="A93:B93"/>
    <mergeCell ref="F196:G196"/>
    <mergeCell ref="H161:I161"/>
    <mergeCell ref="F146:I146"/>
    <mergeCell ref="A119:C119"/>
    <mergeCell ref="A120:C120"/>
    <mergeCell ref="H160:I160"/>
    <mergeCell ref="H174:I175"/>
    <mergeCell ref="D195:E195"/>
    <mergeCell ref="H162:I162"/>
    <mergeCell ref="C226:D226"/>
    <mergeCell ref="E226:F226"/>
    <mergeCell ref="H163:I163"/>
    <mergeCell ref="H176:I176"/>
    <mergeCell ref="H213:I213"/>
    <mergeCell ref="D196:E196"/>
    <mergeCell ref="C213:D213"/>
    <mergeCell ref="E213:G213"/>
    <mergeCell ref="F195:G195"/>
    <mergeCell ref="C9:C10"/>
    <mergeCell ref="E10:F10"/>
    <mergeCell ref="E11:F11"/>
    <mergeCell ref="F68:G68"/>
    <mergeCell ref="C32:D32"/>
    <mergeCell ref="A16:B16"/>
    <mergeCell ref="C16:E16"/>
    <mergeCell ref="B61:E61"/>
    <mergeCell ref="B68:E68"/>
  </mergeCells>
  <printOptions/>
  <pageMargins left="0.75" right="0.75" top="1" bottom="1" header="0.4921259845" footer="0.4921259845"/>
  <pageSetup cellComments="asDisplayed" horizontalDpi="600" verticalDpi="600" orientation="portrait" scale="65" r:id="rId4"/>
  <headerFooter alignWithMargins="0">
    <oddFooter>&amp;LFile:  &amp;F
Sheet:  &amp;A
Page &amp;P of &amp;N&amp;CExperimental Mine
Val-d'Or&amp;R&amp;D
&amp;T</oddFooter>
  </headerFooter>
  <rowBreaks count="4" manualBreakCount="4">
    <brk id="57" max="8" man="1"/>
    <brk id="121" max="8" man="1"/>
    <brk id="180" max="8" man="1"/>
    <brk id="207" max="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="75" zoomScaleNormal="75" workbookViewId="0" topLeftCell="A31">
      <selection activeCell="A8" sqref="A8"/>
    </sheetView>
  </sheetViews>
  <sheetFormatPr defaultColWidth="9.140625" defaultRowHeight="12.75"/>
  <cols>
    <col min="1" max="1" width="11.421875" style="0" customWidth="1"/>
    <col min="2" max="2" width="13.7109375" style="0" customWidth="1"/>
    <col min="3" max="3" width="13.421875" style="0" customWidth="1"/>
    <col min="4" max="4" width="14.28125" style="0" customWidth="1"/>
    <col min="5" max="5" width="14.57421875" style="0" customWidth="1"/>
    <col min="6" max="6" width="16.421875" style="0" customWidth="1"/>
    <col min="7" max="7" width="12.140625" style="0" customWidth="1"/>
    <col min="8" max="8" width="13.8515625" style="0" customWidth="1"/>
    <col min="9" max="9" width="14.140625" style="0" customWidth="1"/>
    <col min="10" max="16384" width="11.421875" style="0" customWidth="1"/>
  </cols>
  <sheetData>
    <row r="1" ht="12.75">
      <c r="I1" s="216" t="s">
        <v>198</v>
      </c>
    </row>
    <row r="2" ht="27">
      <c r="A2" s="51" t="s">
        <v>159</v>
      </c>
    </row>
    <row r="4" ht="22.5">
      <c r="A4" s="27" t="s">
        <v>160</v>
      </c>
    </row>
    <row r="5" spans="3:8" ht="12.75" customHeight="1">
      <c r="C5" s="10"/>
      <c r="D5" s="10"/>
      <c r="E5" s="256" t="s">
        <v>14</v>
      </c>
      <c r="F5" s="10"/>
      <c r="G5" s="256" t="s">
        <v>161</v>
      </c>
      <c r="H5" s="17" t="str">
        <f>Stope!I9</f>
        <v>Swell</v>
      </c>
    </row>
    <row r="6" spans="1:8" ht="16.5">
      <c r="A6" s="242" t="s">
        <v>200</v>
      </c>
      <c r="C6" s="18" t="s">
        <v>12</v>
      </c>
      <c r="D6" s="19" t="s">
        <v>13</v>
      </c>
      <c r="E6" s="299"/>
      <c r="F6" s="201" t="s">
        <v>15</v>
      </c>
      <c r="G6" s="299"/>
      <c r="H6" s="20" t="str">
        <f>Stope!I10</f>
        <v>factor</v>
      </c>
    </row>
    <row r="7" spans="3:8" ht="12.75">
      <c r="C7" s="6">
        <f>Stope!A11</f>
        <v>92.5</v>
      </c>
      <c r="D7" s="6">
        <f>Stope!B11</f>
        <v>3</v>
      </c>
      <c r="E7" s="6">
        <f>Stope!C11</f>
        <v>60</v>
      </c>
      <c r="F7" s="4">
        <f>Stope!D11</f>
        <v>90</v>
      </c>
      <c r="G7" s="4">
        <f>Stope!H11</f>
        <v>3.75</v>
      </c>
      <c r="H7" s="4">
        <f>Stope!I11</f>
        <v>1.38</v>
      </c>
    </row>
    <row r="10" ht="16.5">
      <c r="A10" s="242" t="s">
        <v>201</v>
      </c>
    </row>
    <row r="12" spans="1:8" ht="27">
      <c r="A12" s="51"/>
      <c r="F12" s="239" t="s">
        <v>164</v>
      </c>
      <c r="H12" s="10"/>
    </row>
    <row r="13" spans="1:6" ht="15">
      <c r="A13" s="301" t="s">
        <v>162</v>
      </c>
      <c r="B13" s="301"/>
      <c r="C13" s="301" t="s">
        <v>163</v>
      </c>
      <c r="D13" s="301"/>
      <c r="E13" s="238" t="s">
        <v>12</v>
      </c>
      <c r="F13" s="240" t="s">
        <v>165</v>
      </c>
    </row>
    <row r="14" spans="1:6" ht="12.75">
      <c r="A14" s="300">
        <v>10</v>
      </c>
      <c r="B14" s="300"/>
      <c r="C14" s="300">
        <v>2.9</v>
      </c>
      <c r="D14" s="300"/>
      <c r="E14" s="103">
        <v>10</v>
      </c>
      <c r="F14" s="66">
        <v>38</v>
      </c>
    </row>
    <row r="15" ht="13.5" thickBot="1"/>
    <row r="16" spans="1:9" ht="15.75" thickBot="1">
      <c r="A16" s="302" t="s">
        <v>166</v>
      </c>
      <c r="B16" s="303"/>
      <c r="C16" s="304"/>
      <c r="D16" s="302" t="s">
        <v>167</v>
      </c>
      <c r="E16" s="303"/>
      <c r="F16" s="304"/>
      <c r="G16" s="302" t="s">
        <v>168</v>
      </c>
      <c r="H16" s="303"/>
      <c r="I16" s="304"/>
    </row>
    <row r="17" spans="1:9" ht="12.75">
      <c r="A17" s="28" t="s">
        <v>169</v>
      </c>
      <c r="B17" s="29" t="s">
        <v>170</v>
      </c>
      <c r="C17" s="30"/>
      <c r="D17" s="28" t="s">
        <v>169</v>
      </c>
      <c r="E17" s="29" t="s">
        <v>170</v>
      </c>
      <c r="F17" s="30"/>
      <c r="G17" s="28" t="s">
        <v>169</v>
      </c>
      <c r="H17" s="29" t="s">
        <v>170</v>
      </c>
      <c r="I17" s="30"/>
    </row>
    <row r="18" spans="1:9" ht="12.75">
      <c r="A18" s="109">
        <v>6</v>
      </c>
      <c r="B18" s="22">
        <f>+$C$7/(A18-1)</f>
        <v>18.5</v>
      </c>
      <c r="C18" s="11" t="s">
        <v>149</v>
      </c>
      <c r="D18" s="109">
        <v>5</v>
      </c>
      <c r="E18" s="22">
        <f>+$C$7/(D18)</f>
        <v>18.5</v>
      </c>
      <c r="F18" s="11" t="s">
        <v>149</v>
      </c>
      <c r="G18" s="109">
        <v>6</v>
      </c>
      <c r="H18" s="22">
        <f>+$C$7/(G18-0.5)</f>
        <v>16.818181818181817</v>
      </c>
      <c r="I18" s="11" t="s">
        <v>149</v>
      </c>
    </row>
    <row r="19" spans="1:9" ht="15">
      <c r="A19" s="305" t="s">
        <v>171</v>
      </c>
      <c r="B19" s="301"/>
      <c r="C19" s="306"/>
      <c r="D19" s="305" t="s">
        <v>171</v>
      </c>
      <c r="E19" s="301"/>
      <c r="F19" s="306"/>
      <c r="G19" s="305" t="s">
        <v>171</v>
      </c>
      <c r="H19" s="301"/>
      <c r="I19" s="306"/>
    </row>
    <row r="20" spans="1:9" ht="12.75">
      <c r="A20" s="31" t="s">
        <v>172</v>
      </c>
      <c r="B20" s="21" t="s">
        <v>8</v>
      </c>
      <c r="C20" s="32" t="s">
        <v>53</v>
      </c>
      <c r="D20" s="31" t="s">
        <v>172</v>
      </c>
      <c r="E20" s="21" t="s">
        <v>8</v>
      </c>
      <c r="F20" s="32" t="s">
        <v>53</v>
      </c>
      <c r="G20" s="31" t="s">
        <v>172</v>
      </c>
      <c r="H20" s="21" t="s">
        <v>8</v>
      </c>
      <c r="I20" s="32" t="s">
        <v>53</v>
      </c>
    </row>
    <row r="21" spans="1:9" ht="13.5" thickBot="1">
      <c r="A21" s="33">
        <f>+(B18-$C$14)/2*TAN($F$14*PI()/180)</f>
        <v>6.094027886752395</v>
      </c>
      <c r="B21" s="34">
        <f>+A21*(B18-$C$14)/2*$D$7*(A18-0.5)</f>
        <v>784.3013890250331</v>
      </c>
      <c r="C21" s="35">
        <f>B21*$G$7/$H$7</f>
        <v>2131.2537745245468</v>
      </c>
      <c r="D21" s="33">
        <f>+(E18-$C$14)/2*TAN($F$14*PI()/180)</f>
        <v>6.094027886752395</v>
      </c>
      <c r="E21" s="34">
        <f>+D21*(E18-$C$14)/2*$D$7*(D18-0.5)</f>
        <v>641.701136475027</v>
      </c>
      <c r="F21" s="35">
        <f>E21*$G$7/$H$7</f>
        <v>1743.7530882473563</v>
      </c>
      <c r="G21" s="33">
        <f>+(H18-$C$14)/2*TAN($F$14*PI()/180)</f>
        <v>5.437037700826291</v>
      </c>
      <c r="H21" s="34">
        <f>+G21*(H18-$C$14)/2*$D$7*(G18-0.5)</f>
        <v>624.3078539973789</v>
      </c>
      <c r="I21" s="35">
        <f>H21*$G$7/$H$7</f>
        <v>1696.4887336885295</v>
      </c>
    </row>
    <row r="22" spans="1:9" ht="12.75">
      <c r="A22" s="13"/>
      <c r="B22" s="2"/>
      <c r="C22" s="11"/>
      <c r="D22" s="13"/>
      <c r="E22" s="2"/>
      <c r="F22" s="11"/>
      <c r="G22" s="13"/>
      <c r="H22" s="2"/>
      <c r="I22" s="11"/>
    </row>
    <row r="23" spans="1:9" ht="12.75">
      <c r="A23" s="13"/>
      <c r="B23" s="2"/>
      <c r="C23" s="11"/>
      <c r="D23" s="13"/>
      <c r="E23" s="2"/>
      <c r="F23" s="11"/>
      <c r="G23" s="13"/>
      <c r="H23" s="2"/>
      <c r="I23" s="11"/>
    </row>
    <row r="24" spans="1:9" ht="12.75">
      <c r="A24" s="13"/>
      <c r="B24" s="2"/>
      <c r="C24" s="11"/>
      <c r="D24" s="13"/>
      <c r="E24" s="2"/>
      <c r="F24" s="11"/>
      <c r="G24" s="13"/>
      <c r="H24" s="2"/>
      <c r="I24" s="11"/>
    </row>
    <row r="25" spans="1:9" ht="12.75">
      <c r="A25" s="13"/>
      <c r="B25" s="2"/>
      <c r="C25" s="11"/>
      <c r="D25" s="13"/>
      <c r="E25" s="2"/>
      <c r="F25" s="11"/>
      <c r="G25" s="13"/>
      <c r="H25" s="2"/>
      <c r="I25" s="11"/>
    </row>
    <row r="26" spans="1:9" ht="13.5" thickBot="1">
      <c r="A26" s="15"/>
      <c r="B26" s="7"/>
      <c r="C26" s="16"/>
      <c r="D26" s="15"/>
      <c r="E26" s="7"/>
      <c r="F26" s="16"/>
      <c r="G26" s="15"/>
      <c r="H26" s="7"/>
      <c r="I26" s="16"/>
    </row>
    <row r="28" spans="1:10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31" ht="27">
      <c r="A31" s="51" t="s">
        <v>199</v>
      </c>
    </row>
    <row r="33" ht="19.5">
      <c r="A33" s="102" t="s">
        <v>173</v>
      </c>
    </row>
    <row r="34" spans="5:6" ht="12.75" customHeight="1">
      <c r="E34" s="308"/>
      <c r="F34" s="309"/>
    </row>
    <row r="35" spans="1:6" ht="12.75">
      <c r="A35" s="258" t="s">
        <v>174</v>
      </c>
      <c r="B35" s="258"/>
      <c r="C35" s="18" t="s">
        <v>15</v>
      </c>
      <c r="D35" s="18" t="s">
        <v>12</v>
      </c>
      <c r="E35" s="310" t="s">
        <v>175</v>
      </c>
      <c r="F35" s="311"/>
    </row>
    <row r="36" spans="1:5" ht="12.75">
      <c r="A36" s="307">
        <v>60</v>
      </c>
      <c r="B36" s="307"/>
      <c r="C36" s="49">
        <v>80</v>
      </c>
      <c r="D36" s="50">
        <f>A36/SIN(C36*PI()/180)</f>
        <v>60.9255967131447</v>
      </c>
      <c r="E36" s="50">
        <f>+D36*COS(C36*PI()/180)</f>
        <v>10.579618842507902</v>
      </c>
    </row>
    <row r="39" ht="19.5">
      <c r="A39" s="102" t="s">
        <v>176</v>
      </c>
    </row>
    <row r="40" ht="19.5">
      <c r="A40" s="63"/>
    </row>
    <row r="41" ht="15">
      <c r="D41" s="52" t="s">
        <v>177</v>
      </c>
    </row>
    <row r="42" spans="4:9" ht="12.75">
      <c r="D42" s="274" t="s">
        <v>174</v>
      </c>
      <c r="E42" s="274"/>
      <c r="F42" s="38" t="s">
        <v>15</v>
      </c>
      <c r="G42" s="38" t="s">
        <v>17</v>
      </c>
      <c r="H42" s="38" t="s">
        <v>178</v>
      </c>
      <c r="I42" s="38" t="s">
        <v>179</v>
      </c>
    </row>
    <row r="43" spans="4:9" ht="12.75">
      <c r="D43" s="298">
        <f>+E7</f>
        <v>60</v>
      </c>
      <c r="E43" s="298"/>
      <c r="F43" s="66">
        <v>80</v>
      </c>
      <c r="G43" s="4">
        <v>2.9</v>
      </c>
      <c r="H43" s="66">
        <v>10.6</v>
      </c>
      <c r="I43" s="50">
        <f>D43/SIN(F43*PI()/180)</f>
        <v>60.9255967131447</v>
      </c>
    </row>
    <row r="44" ht="15">
      <c r="D44" s="52" t="s">
        <v>180</v>
      </c>
    </row>
    <row r="45" spans="4:7" ht="12.75">
      <c r="D45" s="38" t="s">
        <v>181</v>
      </c>
      <c r="E45" s="38" t="s">
        <v>182</v>
      </c>
      <c r="F45" s="38" t="s">
        <v>183</v>
      </c>
      <c r="G45" s="38" t="s">
        <v>184</v>
      </c>
    </row>
    <row r="46" spans="4:7" ht="12.75">
      <c r="D46" s="66">
        <v>2.4</v>
      </c>
      <c r="E46" s="66">
        <v>1.8</v>
      </c>
      <c r="F46" s="103">
        <f>(7.5+2*7.5)/3.28</f>
        <v>6.859756097560976</v>
      </c>
      <c r="G46" s="4">
        <f>ROUND(+F46*E46*D46*G43,0)</f>
        <v>86</v>
      </c>
    </row>
    <row r="49" spans="4:8" ht="12.75">
      <c r="D49" s="274" t="s">
        <v>185</v>
      </c>
      <c r="E49" s="274"/>
      <c r="F49" s="295" t="s">
        <v>186</v>
      </c>
      <c r="G49" s="296"/>
      <c r="H49" s="297"/>
    </row>
    <row r="50" spans="4:8" ht="12.75">
      <c r="D50" s="272">
        <v>4</v>
      </c>
      <c r="E50" s="272"/>
      <c r="F50" s="259">
        <f>+(D43-D50*D46)/(D50+1)</f>
        <v>10.08</v>
      </c>
      <c r="G50" s="259"/>
      <c r="H50" s="259"/>
    </row>
    <row r="52" spans="4:8" ht="12.75">
      <c r="D52" s="274" t="s">
        <v>187</v>
      </c>
      <c r="E52" s="274"/>
      <c r="F52" s="274"/>
      <c r="G52" s="6">
        <f>+F46*COS((90-F43)*PI()/180)</f>
        <v>6.755540988650818</v>
      </c>
      <c r="H52" t="s">
        <v>149</v>
      </c>
    </row>
    <row r="53" ht="13.5" thickBot="1"/>
    <row r="54" spans="4:7" ht="15.75">
      <c r="D54" s="237" t="s">
        <v>188</v>
      </c>
      <c r="E54" s="78" t="s">
        <v>189</v>
      </c>
      <c r="F54" s="78" t="s">
        <v>137</v>
      </c>
      <c r="G54" s="74" t="s">
        <v>1</v>
      </c>
    </row>
    <row r="55" spans="4:7" ht="15">
      <c r="D55" s="67" t="s">
        <v>12</v>
      </c>
      <c r="E55" s="50">
        <f>+D50+F46</f>
        <v>10.859756097560975</v>
      </c>
      <c r="F55" s="50">
        <f>+I43</f>
        <v>60.9255967131447</v>
      </c>
      <c r="G55" s="70">
        <f>+F55+E55</f>
        <v>71.78535281070567</v>
      </c>
    </row>
    <row r="56" spans="4:7" ht="15.75" thickBot="1">
      <c r="D56" s="69" t="s">
        <v>53</v>
      </c>
      <c r="E56" s="75">
        <f>ROUND(+D50*G46,0)</f>
        <v>344</v>
      </c>
      <c r="F56" s="75">
        <f>ROUND(+H43*I43,0)</f>
        <v>646</v>
      </c>
      <c r="G56" s="71">
        <f>+F56+E56</f>
        <v>990</v>
      </c>
    </row>
    <row r="57" spans="1:3" ht="12.75">
      <c r="A57" s="294" t="s">
        <v>190</v>
      </c>
      <c r="B57" s="294"/>
      <c r="C57" s="294"/>
    </row>
    <row r="65" ht="19.5">
      <c r="A65" s="102" t="s">
        <v>191</v>
      </c>
    </row>
    <row r="66" ht="19.5">
      <c r="A66" s="63"/>
    </row>
    <row r="67" ht="15">
      <c r="D67" s="52" t="s">
        <v>177</v>
      </c>
    </row>
    <row r="68" spans="4:10" ht="12.75">
      <c r="D68" s="274" t="s">
        <v>174</v>
      </c>
      <c r="E68" s="274"/>
      <c r="F68" s="38" t="s">
        <v>15</v>
      </c>
      <c r="G68" s="38" t="s">
        <v>17</v>
      </c>
      <c r="H68" s="38" t="s">
        <v>178</v>
      </c>
      <c r="I68" s="38" t="s">
        <v>179</v>
      </c>
      <c r="J68" s="38" t="s">
        <v>24</v>
      </c>
    </row>
    <row r="69" spans="4:10" ht="12.75">
      <c r="D69" s="298">
        <f>+E7</f>
        <v>60</v>
      </c>
      <c r="E69" s="298"/>
      <c r="F69" s="4">
        <f>+F7</f>
        <v>90</v>
      </c>
      <c r="G69" s="4">
        <v>2.9</v>
      </c>
      <c r="H69" s="66">
        <v>12.4</v>
      </c>
      <c r="I69" s="50">
        <f>D69/SIN(F69*PI()/180)</f>
        <v>60</v>
      </c>
      <c r="J69" s="111">
        <v>10</v>
      </c>
    </row>
    <row r="70" ht="15">
      <c r="D70" s="52" t="s">
        <v>180</v>
      </c>
    </row>
    <row r="71" spans="4:8" ht="12.75">
      <c r="D71" s="38" t="s">
        <v>181</v>
      </c>
      <c r="E71" s="38" t="s">
        <v>182</v>
      </c>
      <c r="F71" s="38" t="s">
        <v>183</v>
      </c>
      <c r="G71" s="38" t="s">
        <v>184</v>
      </c>
      <c r="H71" s="38" t="s">
        <v>24</v>
      </c>
    </row>
    <row r="72" spans="4:8" ht="12.75">
      <c r="D72" s="66">
        <v>2.4</v>
      </c>
      <c r="E72" s="66">
        <v>1.8</v>
      </c>
      <c r="F72" s="103">
        <v>6.9</v>
      </c>
      <c r="G72" s="4">
        <f>ROUND(+F72*E72*D72*G69,0)</f>
        <v>86</v>
      </c>
      <c r="H72" s="111">
        <v>10</v>
      </c>
    </row>
    <row r="75" spans="4:8" ht="12.75">
      <c r="D75" s="274" t="s">
        <v>185</v>
      </c>
      <c r="E75" s="274"/>
      <c r="F75" s="295" t="s">
        <v>186</v>
      </c>
      <c r="G75" s="296"/>
      <c r="H75" s="297"/>
    </row>
    <row r="76" spans="4:8" ht="12.75">
      <c r="D76" s="272">
        <v>4</v>
      </c>
      <c r="E76" s="272"/>
      <c r="F76" s="259">
        <f>+(D69-D76*D72)/(D76+1)</f>
        <v>10.08</v>
      </c>
      <c r="G76" s="259"/>
      <c r="H76" s="259"/>
    </row>
    <row r="78" spans="4:8" ht="12.75">
      <c r="D78" s="274" t="s">
        <v>187</v>
      </c>
      <c r="E78" s="274"/>
      <c r="F78" s="274"/>
      <c r="G78" s="6">
        <f>+F72</f>
        <v>6.9</v>
      </c>
      <c r="H78" t="s">
        <v>149</v>
      </c>
    </row>
    <row r="79" ht="13.5" thickBot="1"/>
    <row r="80" spans="4:7" ht="15.75">
      <c r="D80" s="237" t="s">
        <v>188</v>
      </c>
      <c r="E80" s="78" t="s">
        <v>189</v>
      </c>
      <c r="F80" s="78" t="s">
        <v>137</v>
      </c>
      <c r="G80" s="74" t="s">
        <v>1</v>
      </c>
    </row>
    <row r="81" spans="4:7" ht="15">
      <c r="D81" s="67" t="s">
        <v>12</v>
      </c>
      <c r="E81" s="50">
        <f>+D76+F72</f>
        <v>10.9</v>
      </c>
      <c r="F81" s="50">
        <f>+I69</f>
        <v>60</v>
      </c>
      <c r="G81" s="70">
        <f>+F81+E81</f>
        <v>70.9</v>
      </c>
    </row>
    <row r="82" spans="4:7" ht="15">
      <c r="D82" s="68" t="s">
        <v>53</v>
      </c>
      <c r="E82" s="76">
        <f>ROUND(+D76*G72,0)</f>
        <v>344</v>
      </c>
      <c r="F82" s="76">
        <f>ROUND(+H69*I69,0)</f>
        <v>744</v>
      </c>
      <c r="G82" s="72">
        <f>+F82+E82</f>
        <v>1088</v>
      </c>
    </row>
    <row r="83" spans="1:7" ht="15.75" thickBot="1">
      <c r="A83" s="292" t="s">
        <v>192</v>
      </c>
      <c r="B83" s="292"/>
      <c r="C83" s="293"/>
      <c r="D83" s="69" t="s">
        <v>24</v>
      </c>
      <c r="E83" s="77">
        <f>+H72</f>
        <v>10</v>
      </c>
      <c r="F83" s="77">
        <f>+J69</f>
        <v>10</v>
      </c>
      <c r="G83" s="73">
        <f>(+F82*F83+E82*E83)/G82</f>
        <v>10</v>
      </c>
    </row>
  </sheetData>
  <mergeCells count="32">
    <mergeCell ref="A35:B35"/>
    <mergeCell ref="A36:B36"/>
    <mergeCell ref="E34:F34"/>
    <mergeCell ref="E35:F35"/>
    <mergeCell ref="G16:I16"/>
    <mergeCell ref="A19:C19"/>
    <mergeCell ref="D19:F19"/>
    <mergeCell ref="G19:I19"/>
    <mergeCell ref="A16:C16"/>
    <mergeCell ref="D16:F16"/>
    <mergeCell ref="E5:E6"/>
    <mergeCell ref="G5:G6"/>
    <mergeCell ref="C14:D14"/>
    <mergeCell ref="A13:B13"/>
    <mergeCell ref="C13:D13"/>
    <mergeCell ref="A14:B14"/>
    <mergeCell ref="D42:E42"/>
    <mergeCell ref="F50:H50"/>
    <mergeCell ref="D69:E69"/>
    <mergeCell ref="D50:E50"/>
    <mergeCell ref="D52:F52"/>
    <mergeCell ref="D43:E43"/>
    <mergeCell ref="A83:C83"/>
    <mergeCell ref="D68:E68"/>
    <mergeCell ref="D75:E75"/>
    <mergeCell ref="D49:E49"/>
    <mergeCell ref="A57:C57"/>
    <mergeCell ref="D78:F78"/>
    <mergeCell ref="F75:H75"/>
    <mergeCell ref="F76:H76"/>
    <mergeCell ref="F49:H49"/>
    <mergeCell ref="D76:E76"/>
  </mergeCells>
  <printOptions/>
  <pageMargins left="0.75" right="0.75" top="1" bottom="1" header="0.4921259845" footer="0.4921259845"/>
  <pageSetup cellComments="asDisplayed" fitToHeight="2" horizontalDpi="600" verticalDpi="600" orientation="landscape" scale="90" r:id="rId4"/>
  <headerFooter alignWithMargins="0">
    <oddFooter>&amp;LFile:  &amp;F
Sheet:  &amp;A
Page &amp;P of &amp;N&amp;CExperimental Mine
Val-d'Or&amp;R&amp;D
&amp;T</oddFooter>
  </headerFooter>
  <rowBreaks count="2" manualBreakCount="2">
    <brk id="29" max="255" man="1"/>
    <brk id="6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G2:G2"/>
  <sheetViews>
    <sheetView zoomScale="75" zoomScaleNormal="75" workbookViewId="0" topLeftCell="A1">
      <selection activeCell="H5" sqref="H5"/>
    </sheetView>
  </sheetViews>
  <sheetFormatPr defaultColWidth="9.140625" defaultRowHeight="12.75"/>
  <cols>
    <col min="1" max="16384" width="11.421875" style="0" customWidth="1"/>
  </cols>
  <sheetData>
    <row r="2" ht="12.75">
      <c r="G2" s="216" t="s">
        <v>198</v>
      </c>
    </row>
  </sheetData>
  <printOptions/>
  <pageMargins left="0.75" right="0.75" top="1" bottom="1" header="0.4921259845" footer="0.4921259845"/>
  <pageSetup horizontalDpi="600" verticalDpi="600" orientation="portrait" scale="88" r:id="rId2"/>
  <headerFooter alignWithMargins="0">
    <oddFooter>&amp;LFile:  &amp;F
Sheet:  &amp;A
Page &amp;P of &amp;N&amp;CExperimental Mine
Val-d'Or&amp;R&amp;D
&amp;T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Roger Lacroix</cp:lastModifiedBy>
  <cp:lastPrinted>2002-11-14T20:50:21Z</cp:lastPrinted>
  <dcterms:created xsi:type="dcterms:W3CDTF">2000-06-27T14:00:10Z</dcterms:created>
  <dcterms:modified xsi:type="dcterms:W3CDTF">2004-01-06T14:48:18Z</dcterms:modified>
  <cp:category/>
  <cp:version/>
  <cp:contentType/>
  <cp:contentStatus/>
</cp:coreProperties>
</file>