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01" activeTab="1"/>
  </bookViews>
  <sheets>
    <sheet name="Dilution_Chant." sheetId="1" r:id="rId1"/>
    <sheet name="Dilution_effet" sheetId="2" r:id="rId2"/>
  </sheets>
  <definedNames/>
  <calcPr fullCalcOnLoad="1"/>
</workbook>
</file>

<file path=xl/sharedStrings.xml><?xml version="1.0" encoding="utf-8"?>
<sst xmlns="http://schemas.openxmlformats.org/spreadsheetml/2006/main" count="84" uniqueCount="59">
  <si>
    <t>tonnage</t>
  </si>
  <si>
    <t>minerai</t>
  </si>
  <si>
    <t xml:space="preserve"> % dilution</t>
  </si>
  <si>
    <t>total</t>
  </si>
  <si>
    <t>D sup</t>
  </si>
  <si>
    <t>D inf</t>
  </si>
  <si>
    <t>par mètre longitudinal</t>
  </si>
  <si>
    <t>H inf</t>
  </si>
  <si>
    <t>Minerai</t>
  </si>
  <si>
    <t>Calcul de la dilution</t>
  </si>
  <si>
    <t>par mètre longitudinal de chantier</t>
  </si>
  <si>
    <t>volumique</t>
  </si>
  <si>
    <t>massique</t>
  </si>
  <si>
    <t>teneur usinée du chantier</t>
  </si>
  <si>
    <t>Réserves</t>
  </si>
  <si>
    <t>Dilution supplémentaire</t>
  </si>
  <si>
    <t>éponte supérieure</t>
  </si>
  <si>
    <t>dilution incluse dans  réserves</t>
  </si>
  <si>
    <t>teneur (g/t)</t>
  </si>
  <si>
    <t>largeur (m)</t>
  </si>
  <si>
    <t>minerai in situ</t>
  </si>
  <si>
    <t>dilution incluse dans réserves</t>
  </si>
  <si>
    <t>stérile de l'éponte inférieure</t>
  </si>
  <si>
    <t>teneur du stérile inclus dans les réserves</t>
  </si>
  <si>
    <t>teneur du minerai in situ</t>
  </si>
  <si>
    <t>éponte inférieure</t>
  </si>
  <si>
    <t>Dilution du chantier</t>
  </si>
  <si>
    <t>&lt;-- Situation actuelle</t>
  </si>
  <si>
    <t>Densité (t/m³)</t>
  </si>
  <si>
    <t>volume (m³)</t>
  </si>
  <si>
    <t>(g/t)</t>
  </si>
  <si>
    <t>DILUTION DE CHANTIER (chambres magasins, long trou, chambres et piliers)</t>
  </si>
  <si>
    <t>réserves</t>
  </si>
  <si>
    <t>stérile de l'éponte supérieure</t>
  </si>
  <si>
    <t>densité  (t/m³)</t>
  </si>
  <si>
    <t>teneur du stérile de l'éponte supérieure</t>
  </si>
  <si>
    <t>teneur du stérile de l'éponte inférieure</t>
  </si>
  <si>
    <t>hauteur (m)</t>
  </si>
  <si>
    <r>
      <t>Note :</t>
    </r>
    <r>
      <rPr>
        <sz val="18"/>
        <rFont val="Arial"/>
        <family val="2"/>
      </rPr>
      <t xml:space="preserve">  La dilution calculée pour le chantier est représentative seulement si la configuration</t>
    </r>
  </si>
  <si>
    <t xml:space="preserve">            de la section choisie représente la section moyenne du chantier.</t>
  </si>
  <si>
    <t>EFFET DE L'ÉPAISSEUR DE LA DILUTION PAR ÉPONTE SUR LA DILUTION TOTALE</t>
  </si>
  <si>
    <t>Éponte sup</t>
  </si>
  <si>
    <t>Éponte inf</t>
  </si>
  <si>
    <t>teneur du minerai</t>
  </si>
  <si>
    <t>teneur du stérile</t>
  </si>
  <si>
    <t>teneur usinée</t>
  </si>
  <si>
    <t>Dilution totale</t>
  </si>
  <si>
    <t>Dilution sup</t>
  </si>
  <si>
    <t>Dilution inf</t>
  </si>
  <si>
    <t>% sup</t>
  </si>
  <si>
    <t xml:space="preserve">% inf </t>
  </si>
  <si>
    <t>% Total</t>
  </si>
  <si>
    <t>stérile inclus dans les réserves</t>
  </si>
  <si>
    <t>Teneur (g/t)</t>
  </si>
  <si>
    <t>Hauteur (m)</t>
  </si>
  <si>
    <t>H sup</t>
  </si>
  <si>
    <t>Largeur (m)</t>
  </si>
  <si>
    <t>dilution supplémentaire prévue dans le chantier</t>
  </si>
  <si>
    <t>dilution sur le minerai in situ des réserves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</si>
</sst>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0"/>
    <numFmt numFmtId="188" formatCode="0.0000000000"/>
  </numFmts>
  <fonts count="16">
    <font>
      <sz val="10"/>
      <name val="Arial"/>
      <family val="0"/>
    </font>
    <font>
      <b/>
      <sz val="20"/>
      <name val="Arial Black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vertAlign val="subscript"/>
      <sz val="1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186" fontId="3" fillId="3" borderId="2" xfId="0" applyNumberFormat="1" applyFont="1" applyFill="1" applyBorder="1" applyAlignment="1">
      <alignment horizontal="center"/>
    </xf>
    <xf numFmtId="186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86" fontId="3" fillId="3" borderId="5" xfId="0" applyNumberFormat="1" applyFont="1" applyFill="1" applyBorder="1" applyAlignment="1">
      <alignment horizontal="center"/>
    </xf>
    <xf numFmtId="186" fontId="3" fillId="3" borderId="6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86" fontId="3" fillId="3" borderId="8" xfId="0" applyNumberFormat="1" applyFont="1" applyFill="1" applyBorder="1" applyAlignment="1">
      <alignment horizontal="center"/>
    </xf>
    <xf numFmtId="186" fontId="3" fillId="3" borderId="9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center"/>
    </xf>
    <xf numFmtId="186" fontId="3" fillId="3" borderId="11" xfId="0" applyNumberFormat="1" applyFont="1" applyFill="1" applyBorder="1" applyAlignment="1">
      <alignment horizontal="center"/>
    </xf>
    <xf numFmtId="186" fontId="3" fillId="3" borderId="12" xfId="0" applyNumberFormat="1" applyFont="1" applyFill="1" applyBorder="1" applyAlignment="1">
      <alignment horizontal="center"/>
    </xf>
    <xf numFmtId="2" fontId="3" fillId="3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9" fontId="3" fillId="3" borderId="1" xfId="19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86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9" fontId="0" fillId="3" borderId="1" xfId="19" applyFill="1" applyBorder="1" applyAlignment="1">
      <alignment/>
    </xf>
    <xf numFmtId="9" fontId="0" fillId="0" borderId="0" xfId="19" applyAlignment="1">
      <alignment/>
    </xf>
    <xf numFmtId="186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9" fontId="5" fillId="3" borderId="1" xfId="19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86" fontId="3" fillId="3" borderId="1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186" fontId="3" fillId="3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18" xfId="0" applyFill="1" applyBorder="1" applyAlignment="1">
      <alignment/>
    </xf>
    <xf numFmtId="0" fontId="8" fillId="2" borderId="19" xfId="0" applyFont="1" applyFill="1" applyBorder="1" applyAlignment="1">
      <alignment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2" xfId="0" applyFont="1" applyBorder="1" applyAlignment="1">
      <alignment/>
    </xf>
    <xf numFmtId="186" fontId="10" fillId="3" borderId="23" xfId="0" applyNumberFormat="1" applyFont="1" applyFill="1" applyBorder="1" applyAlignment="1">
      <alignment horizontal="center"/>
    </xf>
    <xf numFmtId="186" fontId="10" fillId="3" borderId="1" xfId="0" applyNumberFormat="1" applyFont="1" applyFill="1" applyBorder="1" applyAlignment="1">
      <alignment horizontal="center"/>
    </xf>
    <xf numFmtId="2" fontId="10" fillId="3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5" xfId="0" applyFont="1" applyBorder="1" applyAlignment="1">
      <alignment/>
    </xf>
    <xf numFmtId="186" fontId="10" fillId="3" borderId="26" xfId="0" applyNumberFormat="1" applyFont="1" applyFill="1" applyBorder="1" applyAlignment="1">
      <alignment horizontal="center"/>
    </xf>
    <xf numFmtId="186" fontId="10" fillId="3" borderId="17" xfId="0" applyNumberFormat="1" applyFont="1" applyFill="1" applyBorder="1" applyAlignment="1">
      <alignment horizontal="center"/>
    </xf>
    <xf numFmtId="2" fontId="10" fillId="3" borderId="27" xfId="0" applyNumberFormat="1" applyFont="1" applyFill="1" applyBorder="1" applyAlignment="1">
      <alignment horizontal="center"/>
    </xf>
    <xf numFmtId="0" fontId="10" fillId="0" borderId="28" xfId="0" applyFont="1" applyBorder="1" applyAlignment="1">
      <alignment/>
    </xf>
    <xf numFmtId="186" fontId="10" fillId="3" borderId="8" xfId="0" applyNumberFormat="1" applyFont="1" applyFill="1" applyBorder="1" applyAlignment="1">
      <alignment horizontal="center"/>
    </xf>
    <xf numFmtId="186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 applyAlignment="1">
      <alignment horizontal="center"/>
    </xf>
    <xf numFmtId="2" fontId="12" fillId="3" borderId="29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0" xfId="0" applyFont="1" applyBorder="1" applyAlignment="1">
      <alignment/>
    </xf>
    <xf numFmtId="0" fontId="11" fillId="0" borderId="31" xfId="0" applyFont="1" applyBorder="1" applyAlignment="1">
      <alignment/>
    </xf>
    <xf numFmtId="9" fontId="10" fillId="3" borderId="1" xfId="19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9" fontId="12" fillId="3" borderId="29" xfId="19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186" fontId="10" fillId="4" borderId="5" xfId="0" applyNumberFormat="1" applyFont="1" applyFill="1" applyBorder="1" applyAlignment="1">
      <alignment horizontal="center"/>
    </xf>
    <xf numFmtId="186" fontId="10" fillId="4" borderId="6" xfId="0" applyNumberFormat="1" applyFont="1" applyFill="1" applyBorder="1" applyAlignment="1">
      <alignment horizontal="center"/>
    </xf>
    <xf numFmtId="2" fontId="10" fillId="4" borderId="7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2" xfId="0" applyFont="1" applyBorder="1" applyAlignment="1">
      <alignment/>
    </xf>
    <xf numFmtId="186" fontId="9" fillId="3" borderId="11" xfId="0" applyNumberFormat="1" applyFont="1" applyFill="1" applyBorder="1" applyAlignment="1">
      <alignment horizontal="center"/>
    </xf>
    <xf numFmtId="186" fontId="9" fillId="3" borderId="36" xfId="0" applyNumberFormat="1" applyFont="1" applyFill="1" applyBorder="1" applyAlignment="1">
      <alignment horizontal="center"/>
    </xf>
    <xf numFmtId="2" fontId="3" fillId="5" borderId="17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9" fontId="3" fillId="5" borderId="1" xfId="19" applyFont="1" applyFill="1" applyBorder="1" applyAlignment="1">
      <alignment horizontal="center"/>
    </xf>
    <xf numFmtId="186" fontId="3" fillId="5" borderId="1" xfId="0" applyNumberFormat="1" applyFont="1" applyFill="1" applyBorder="1" applyAlignment="1">
      <alignment horizontal="center"/>
    </xf>
    <xf numFmtId="186" fontId="3" fillId="5" borderId="17" xfId="0" applyNumberFormat="1" applyFont="1" applyFill="1" applyBorder="1" applyAlignment="1">
      <alignment horizontal="center"/>
    </xf>
    <xf numFmtId="186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4" fillId="2" borderId="2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2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Effet de l'épaisseur de la dilution par éponte sur la dilution totale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25"/>
          <c:w val="0.71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Dilution_effet!$F$8</c:f>
              <c:strCache>
                <c:ptCount val="1"/>
                <c:pt idx="0">
                  <c:v>Éponte inf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Dilution_effet!$F$9:$F$24</c:f>
              <c:numCache/>
            </c:numRef>
          </c:cat>
          <c:val>
            <c:numRef>
              <c:f>Dilution_effet!$M$9:$M$24</c:f>
              <c:numCache/>
            </c:numRef>
          </c:val>
        </c:ser>
        <c:ser>
          <c:idx val="0"/>
          <c:order val="1"/>
          <c:tx>
            <c:strRef>
              <c:f>Dilution_effet!$E$8</c:f>
              <c:strCache>
                <c:ptCount val="1"/>
                <c:pt idx="0">
                  <c:v>Éponte sup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Dilution_effet!$E$9:$E$24</c:f>
              <c:numCache/>
            </c:numRef>
          </c:cat>
          <c:val>
            <c:numRef>
              <c:f>Dilution_effet!$L$9:$L$24</c:f>
              <c:numCache/>
            </c:numRef>
          </c:val>
        </c:ser>
        <c:axId val="16303911"/>
        <c:axId val="12517472"/>
      </c:barChart>
      <c:lineChart>
        <c:grouping val="standard"/>
        <c:varyColors val="0"/>
        <c:ser>
          <c:idx val="2"/>
          <c:order val="2"/>
          <c:tx>
            <c:strRef>
              <c:f>Dilution_effet!$G$8</c:f>
              <c:strCache>
                <c:ptCount val="1"/>
                <c:pt idx="0">
                  <c:v>Dilution totale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Dilution_effet!$N$9:$N$24</c:f>
              <c:numCache/>
            </c:numRef>
          </c:val>
          <c:smooth val="0"/>
        </c:ser>
        <c:axId val="45548385"/>
        <c:axId val="7282282"/>
      </c:lineChart>
      <c:catAx>
        <c:axId val="1630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Épaisseur de la dilution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17472"/>
        <c:crosses val="autoZero"/>
        <c:auto val="0"/>
        <c:lblOffset val="100"/>
        <c:noMultiLvlLbl val="0"/>
      </c:catAx>
      <c:valAx>
        <c:axId val="1251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Dilution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in"/>
        <c:tickLblPos val="nextTo"/>
        <c:crossAx val="16303911"/>
        <c:crossesAt val="1"/>
        <c:crossBetween val="between"/>
        <c:dispUnits/>
        <c:minorUnit val="0.25"/>
      </c:valAx>
      <c:catAx>
        <c:axId val="45548385"/>
        <c:scaling>
          <c:orientation val="minMax"/>
        </c:scaling>
        <c:axPos val="b"/>
        <c:delete val="1"/>
        <c:majorTickMark val="in"/>
        <c:minorTickMark val="none"/>
        <c:tickLblPos val="nextTo"/>
        <c:crossAx val="7282282"/>
        <c:crosses val="autoZero"/>
        <c:auto val="0"/>
        <c:lblOffset val="100"/>
        <c:noMultiLvlLbl val="0"/>
      </c:catAx>
      <c:valAx>
        <c:axId val="7282282"/>
        <c:scaling>
          <c:orientation val="minMax"/>
        </c:scaling>
        <c:axPos val="l"/>
        <c:delete val="1"/>
        <c:majorTickMark val="in"/>
        <c:minorTickMark val="none"/>
        <c:tickLblPos val="nextTo"/>
        <c:crossAx val="45548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4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3</xdr:row>
      <xdr:rowOff>95250</xdr:rowOff>
    </xdr:from>
    <xdr:to>
      <xdr:col>3</xdr:col>
      <xdr:colOff>1104900</xdr:colOff>
      <xdr:row>29</xdr:row>
      <xdr:rowOff>0</xdr:rowOff>
    </xdr:to>
    <xdr:sp>
      <xdr:nvSpPr>
        <xdr:cNvPr id="1" name="Polygon 73"/>
        <xdr:cNvSpPr>
          <a:spLocks/>
        </xdr:cNvSpPr>
      </xdr:nvSpPr>
      <xdr:spPr>
        <a:xfrm>
          <a:off x="3571875" y="828675"/>
          <a:ext cx="2114550" cy="4114800"/>
        </a:xfrm>
        <a:custGeom>
          <a:pathLst>
            <a:path h="420" w="158">
              <a:moveTo>
                <a:pt x="1" y="383"/>
              </a:moveTo>
              <a:lnTo>
                <a:pt x="40" y="252"/>
              </a:lnTo>
              <a:lnTo>
                <a:pt x="64" y="206"/>
              </a:lnTo>
              <a:lnTo>
                <a:pt x="78" y="153"/>
              </a:lnTo>
              <a:lnTo>
                <a:pt x="107" y="90"/>
              </a:lnTo>
              <a:lnTo>
                <a:pt x="113" y="66"/>
              </a:lnTo>
              <a:lnTo>
                <a:pt x="134" y="3"/>
              </a:lnTo>
              <a:lnTo>
                <a:pt x="158" y="0"/>
              </a:lnTo>
              <a:lnTo>
                <a:pt x="121" y="102"/>
              </a:lnTo>
              <a:lnTo>
                <a:pt x="107" y="132"/>
              </a:lnTo>
              <a:lnTo>
                <a:pt x="95" y="170"/>
              </a:lnTo>
              <a:lnTo>
                <a:pt x="70" y="225"/>
              </a:lnTo>
              <a:lnTo>
                <a:pt x="58" y="266"/>
              </a:lnTo>
              <a:lnTo>
                <a:pt x="37" y="321"/>
              </a:lnTo>
              <a:lnTo>
                <a:pt x="9" y="420"/>
              </a:lnTo>
              <a:lnTo>
                <a:pt x="0" y="381"/>
              </a:lnTo>
              <a:lnTo>
                <a:pt x="1" y="383"/>
              </a:lnTo>
              <a:close/>
            </a:path>
          </a:pathLst>
        </a:custGeom>
        <a:pattFill prst="pct10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4</xdr:row>
      <xdr:rowOff>57150</xdr:rowOff>
    </xdr:from>
    <xdr:to>
      <xdr:col>5</xdr:col>
      <xdr:colOff>361950</xdr:colOff>
      <xdr:row>26</xdr:row>
      <xdr:rowOff>133350</xdr:rowOff>
    </xdr:to>
    <xdr:grpSp>
      <xdr:nvGrpSpPr>
        <xdr:cNvPr id="2" name="Group 149"/>
        <xdr:cNvGrpSpPr>
          <a:grpSpLocks/>
        </xdr:cNvGrpSpPr>
      </xdr:nvGrpSpPr>
      <xdr:grpSpPr>
        <a:xfrm>
          <a:off x="533400" y="952500"/>
          <a:ext cx="7962900" cy="3638550"/>
          <a:chOff x="56" y="99"/>
          <a:chExt cx="836" cy="382"/>
        </a:xfrm>
        <a:solidFill>
          <a:srgbClr val="FFFFFF"/>
        </a:solidFill>
      </xdr:grpSpPr>
      <xdr:sp>
        <xdr:nvSpPr>
          <xdr:cNvPr id="3" name="Polygon 7"/>
          <xdr:cNvSpPr>
            <a:spLocks/>
          </xdr:cNvSpPr>
        </xdr:nvSpPr>
        <xdr:spPr>
          <a:xfrm>
            <a:off x="376" y="443"/>
            <a:ext cx="48" cy="37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olygon 6"/>
          <xdr:cNvSpPr>
            <a:spLocks/>
          </xdr:cNvSpPr>
        </xdr:nvSpPr>
        <xdr:spPr>
          <a:xfrm>
            <a:off x="527" y="125"/>
            <a:ext cx="48" cy="37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8"/>
          <xdr:cNvSpPr>
            <a:spLocks/>
          </xdr:cNvSpPr>
        </xdr:nvSpPr>
        <xdr:spPr>
          <a:xfrm>
            <a:off x="162" y="443"/>
            <a:ext cx="48" cy="38"/>
          </a:xfrm>
          <a:custGeom>
            <a:pathLst>
              <a:path h="47" w="64">
                <a:moveTo>
                  <a:pt x="0" y="47"/>
                </a:moveTo>
                <a:lnTo>
                  <a:pt x="0" y="0"/>
                </a:lnTo>
                <a:lnTo>
                  <a:pt x="64" y="0"/>
                </a:lnTo>
                <a:lnTo>
                  <a:pt x="64" y="47"/>
                </a:lnTo>
                <a:lnTo>
                  <a:pt x="0" y="47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207" y="443"/>
            <a:ext cx="17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1"/>
          <xdr:cNvSpPr>
            <a:spLocks/>
          </xdr:cNvSpPr>
        </xdr:nvSpPr>
        <xdr:spPr>
          <a:xfrm>
            <a:off x="207" y="479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5"/>
          <xdr:cNvSpPr>
            <a:spLocks/>
          </xdr:cNvSpPr>
        </xdr:nvSpPr>
        <xdr:spPr>
          <a:xfrm flipV="1">
            <a:off x="376" y="146"/>
            <a:ext cx="149" cy="2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76"/>
          <xdr:cNvSpPr>
            <a:spLocks/>
          </xdr:cNvSpPr>
        </xdr:nvSpPr>
        <xdr:spPr>
          <a:xfrm flipV="1">
            <a:off x="421" y="161"/>
            <a:ext cx="146" cy="2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Polygon 79"/>
          <xdr:cNvSpPr>
            <a:spLocks/>
          </xdr:cNvSpPr>
        </xdr:nvSpPr>
        <xdr:spPr>
          <a:xfrm>
            <a:off x="421" y="161"/>
            <a:ext cx="153" cy="294"/>
          </a:xfrm>
          <a:custGeom>
            <a:pathLst>
              <a:path h="286" w="108">
                <a:moveTo>
                  <a:pt x="1" y="286"/>
                </a:moveTo>
                <a:lnTo>
                  <a:pt x="108" y="0"/>
                </a:lnTo>
                <a:lnTo>
                  <a:pt x="103" y="3"/>
                </a:lnTo>
                <a:lnTo>
                  <a:pt x="0" y="274"/>
                </a:lnTo>
                <a:lnTo>
                  <a:pt x="1" y="286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Polygon 81"/>
          <xdr:cNvSpPr>
            <a:spLocks/>
          </xdr:cNvSpPr>
        </xdr:nvSpPr>
        <xdr:spPr>
          <a:xfrm>
            <a:off x="361" y="125"/>
            <a:ext cx="169" cy="318"/>
          </a:xfrm>
          <a:custGeom>
            <a:pathLst>
              <a:path h="309" w="120">
                <a:moveTo>
                  <a:pt x="0" y="309"/>
                </a:moveTo>
                <a:lnTo>
                  <a:pt x="120" y="0"/>
                </a:lnTo>
                <a:lnTo>
                  <a:pt x="120" y="25"/>
                </a:lnTo>
                <a:lnTo>
                  <a:pt x="13" y="309"/>
                </a:lnTo>
                <a:lnTo>
                  <a:pt x="0" y="309"/>
                </a:lnTo>
                <a:close/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82"/>
          <xdr:cNvSpPr>
            <a:spLocks/>
          </xdr:cNvSpPr>
        </xdr:nvSpPr>
        <xdr:spPr>
          <a:xfrm flipV="1">
            <a:off x="285" y="114"/>
            <a:ext cx="2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3"/>
          <xdr:cNvSpPr>
            <a:spLocks/>
          </xdr:cNvSpPr>
        </xdr:nvSpPr>
        <xdr:spPr>
          <a:xfrm>
            <a:off x="366" y="154"/>
            <a:ext cx="154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85"/>
          <xdr:cNvSpPr>
            <a:spLocks/>
          </xdr:cNvSpPr>
        </xdr:nvSpPr>
        <xdr:spPr>
          <a:xfrm flipV="1">
            <a:off x="224" y="239"/>
            <a:ext cx="24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86"/>
          <xdr:cNvSpPr>
            <a:spLocks/>
          </xdr:cNvSpPr>
        </xdr:nvSpPr>
        <xdr:spPr>
          <a:xfrm>
            <a:off x="216" y="237"/>
            <a:ext cx="291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88"/>
          <xdr:cNvSpPr>
            <a:spLocks/>
          </xdr:cNvSpPr>
        </xdr:nvSpPr>
        <xdr:spPr>
          <a:xfrm>
            <a:off x="157" y="99"/>
            <a:ext cx="18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Minerai in situ</a:t>
            </a:r>
          </a:p>
        </xdr:txBody>
      </xdr:sp>
      <xdr:sp>
        <xdr:nvSpPr>
          <xdr:cNvPr id="17" name="Rectangle 89"/>
          <xdr:cNvSpPr>
            <a:spLocks/>
          </xdr:cNvSpPr>
        </xdr:nvSpPr>
        <xdr:spPr>
          <a:xfrm>
            <a:off x="101" y="139"/>
            <a:ext cx="270" cy="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Réserve minable 
incluant dilution prévue</a:t>
            </a:r>
          </a:p>
        </xdr:txBody>
      </xdr:sp>
      <xdr:sp>
        <xdr:nvSpPr>
          <xdr:cNvPr id="18" name="Rectangle 90"/>
          <xdr:cNvSpPr>
            <a:spLocks/>
          </xdr:cNvSpPr>
        </xdr:nvSpPr>
        <xdr:spPr>
          <a:xfrm>
            <a:off x="56" y="201"/>
            <a:ext cx="186" cy="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Dilution supplémentaire observée</a:t>
            </a:r>
          </a:p>
        </xdr:txBody>
      </xdr:sp>
      <xdr:sp>
        <xdr:nvSpPr>
          <xdr:cNvPr id="19" name="Rectangle 91"/>
          <xdr:cNvSpPr>
            <a:spLocks/>
          </xdr:cNvSpPr>
        </xdr:nvSpPr>
        <xdr:spPr>
          <a:xfrm>
            <a:off x="290" y="204"/>
            <a:ext cx="92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 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sup</a:t>
            </a:r>
          </a:p>
        </xdr:txBody>
      </xdr:sp>
      <xdr:sp>
        <xdr:nvSpPr>
          <xdr:cNvPr id="20" name="Rectangle 92"/>
          <xdr:cNvSpPr>
            <a:spLocks/>
          </xdr:cNvSpPr>
        </xdr:nvSpPr>
        <xdr:spPr>
          <a:xfrm>
            <a:off x="302" y="256"/>
            <a:ext cx="72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 inf</a:t>
            </a:r>
          </a:p>
        </xdr:txBody>
      </xdr:sp>
      <xdr:sp>
        <xdr:nvSpPr>
          <xdr:cNvPr id="21" name="Line 95"/>
          <xdr:cNvSpPr>
            <a:spLocks/>
          </xdr:cNvSpPr>
        </xdr:nvSpPr>
        <xdr:spPr>
          <a:xfrm>
            <a:off x="783" y="129"/>
            <a:ext cx="0" cy="3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96"/>
          <xdr:cNvSpPr>
            <a:spLocks/>
          </xdr:cNvSpPr>
        </xdr:nvSpPr>
        <xdr:spPr>
          <a:xfrm>
            <a:off x="446" y="443"/>
            <a:ext cx="3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97"/>
          <xdr:cNvSpPr>
            <a:spLocks/>
          </xdr:cNvSpPr>
        </xdr:nvSpPr>
        <xdr:spPr>
          <a:xfrm flipV="1">
            <a:off x="589" y="161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98"/>
          <xdr:cNvSpPr>
            <a:spLocks/>
          </xdr:cNvSpPr>
        </xdr:nvSpPr>
        <xdr:spPr>
          <a:xfrm>
            <a:off x="594" y="128"/>
            <a:ext cx="2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99"/>
          <xdr:cNvSpPr>
            <a:spLocks/>
          </xdr:cNvSpPr>
        </xdr:nvSpPr>
        <xdr:spPr>
          <a:xfrm flipH="1">
            <a:off x="605" y="161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100"/>
          <xdr:cNvSpPr>
            <a:spLocks/>
          </xdr:cNvSpPr>
        </xdr:nvSpPr>
        <xdr:spPr>
          <a:xfrm>
            <a:off x="765" y="247"/>
            <a:ext cx="127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H 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sup</a:t>
            </a:r>
          </a:p>
        </xdr:txBody>
      </xdr:sp>
      <xdr:sp>
        <xdr:nvSpPr>
          <xdr:cNvPr id="27" name="Rectangle 101"/>
          <xdr:cNvSpPr>
            <a:spLocks/>
          </xdr:cNvSpPr>
        </xdr:nvSpPr>
        <xdr:spPr>
          <a:xfrm>
            <a:off x="538" y="341"/>
            <a:ext cx="70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 inf</a:t>
            </a:r>
          </a:p>
        </xdr:txBody>
      </xdr:sp>
      <xdr:sp>
        <xdr:nvSpPr>
          <xdr:cNvPr id="28" name="Line 103"/>
          <xdr:cNvSpPr>
            <a:spLocks/>
          </xdr:cNvSpPr>
        </xdr:nvSpPr>
        <xdr:spPr>
          <a:xfrm flipH="1">
            <a:off x="667" y="162"/>
            <a:ext cx="0" cy="2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104"/>
          <xdr:cNvSpPr>
            <a:spLocks/>
          </xdr:cNvSpPr>
        </xdr:nvSpPr>
        <xdr:spPr>
          <a:xfrm>
            <a:off x="666" y="292"/>
            <a:ext cx="128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H</a:t>
            </a:r>
            <a:r>
              <a:rPr lang="en-US" cap="none" sz="1800" b="0" i="0" u="none" baseline="-25000">
                <a:latin typeface="Arial"/>
                <a:ea typeface="Arial"/>
                <a:cs typeface="Arial"/>
              </a:rPr>
              <a:t> minerai</a:t>
            </a:r>
          </a:p>
        </xdr:txBody>
      </xdr:sp>
    </xdr:grpSp>
    <xdr:clientData/>
  </xdr:twoCellAnchor>
  <xdr:twoCellAnchor>
    <xdr:from>
      <xdr:col>1</xdr:col>
      <xdr:colOff>190500</xdr:colOff>
      <xdr:row>41</xdr:row>
      <xdr:rowOff>76200</xdr:rowOff>
    </xdr:from>
    <xdr:to>
      <xdr:col>4</xdr:col>
      <xdr:colOff>1066800</xdr:colOff>
      <xdr:row>55</xdr:row>
      <xdr:rowOff>95250</xdr:rowOff>
    </xdr:to>
    <xdr:grpSp>
      <xdr:nvGrpSpPr>
        <xdr:cNvPr id="30" name="Group 143"/>
        <xdr:cNvGrpSpPr>
          <a:grpSpLocks/>
        </xdr:cNvGrpSpPr>
      </xdr:nvGrpSpPr>
      <xdr:grpSpPr>
        <a:xfrm>
          <a:off x="1562100" y="7858125"/>
          <a:ext cx="5819775" cy="2428875"/>
          <a:chOff x="116" y="828"/>
          <a:chExt cx="589" cy="255"/>
        </a:xfrm>
        <a:solidFill>
          <a:srgbClr val="FFFFFF"/>
        </a:solidFill>
      </xdr:grpSpPr>
      <xdr:grpSp>
        <xdr:nvGrpSpPr>
          <xdr:cNvPr id="31" name="Group 140"/>
          <xdr:cNvGrpSpPr>
            <a:grpSpLocks/>
          </xdr:cNvGrpSpPr>
        </xdr:nvGrpSpPr>
        <xdr:grpSpPr>
          <a:xfrm>
            <a:off x="116" y="828"/>
            <a:ext cx="589" cy="255"/>
            <a:chOff x="613" y="617"/>
            <a:chExt cx="372" cy="185"/>
          </a:xfrm>
          <a:solidFill>
            <a:srgbClr val="FFFFFF"/>
          </a:solidFill>
        </xdr:grpSpPr>
        <xdr:sp>
          <xdr:nvSpPr>
            <xdr:cNvPr id="32" name="Line 112"/>
            <xdr:cNvSpPr>
              <a:spLocks/>
            </xdr:cNvSpPr>
          </xdr:nvSpPr>
          <xdr:spPr>
            <a:xfrm flipV="1">
              <a:off x="614" y="638"/>
              <a:ext cx="371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13"/>
            <xdr:cNvSpPr>
              <a:spLocks/>
            </xdr:cNvSpPr>
          </xdr:nvSpPr>
          <xdr:spPr>
            <a:xfrm flipV="1">
              <a:off x="613" y="617"/>
              <a:ext cx="372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Polygon 114"/>
            <xdr:cNvSpPr>
              <a:spLocks/>
            </xdr:cNvSpPr>
          </xdr:nvSpPr>
          <xdr:spPr>
            <a:xfrm>
              <a:off x="621" y="788"/>
              <a:ext cx="18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115"/>
            <xdr:cNvSpPr>
              <a:spLocks/>
            </xdr:cNvSpPr>
          </xdr:nvSpPr>
          <xdr:spPr>
            <a:xfrm>
              <a:off x="620" y="801"/>
              <a:ext cx="353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Polygon 116"/>
            <xdr:cNvSpPr>
              <a:spLocks/>
            </xdr:cNvSpPr>
          </xdr:nvSpPr>
          <xdr:spPr>
            <a:xfrm>
              <a:off x="705" y="788"/>
              <a:ext cx="18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Polygon 117"/>
            <xdr:cNvSpPr>
              <a:spLocks/>
            </xdr:cNvSpPr>
          </xdr:nvSpPr>
          <xdr:spPr>
            <a:xfrm>
              <a:off x="795" y="788"/>
              <a:ext cx="18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Polygon 118"/>
            <xdr:cNvSpPr>
              <a:spLocks/>
            </xdr:cNvSpPr>
          </xdr:nvSpPr>
          <xdr:spPr>
            <a:xfrm>
              <a:off x="888" y="788"/>
              <a:ext cx="18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119"/>
            <xdr:cNvSpPr>
              <a:spLocks/>
            </xdr:cNvSpPr>
          </xdr:nvSpPr>
          <xdr:spPr>
            <a:xfrm>
              <a:off x="738" y="638"/>
              <a:ext cx="63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120"/>
            <xdr:cNvSpPr>
              <a:spLocks/>
            </xdr:cNvSpPr>
          </xdr:nvSpPr>
          <xdr:spPr>
            <a:xfrm>
              <a:off x="619" y="788"/>
              <a:ext cx="354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Line 121"/>
            <xdr:cNvSpPr>
              <a:spLocks/>
            </xdr:cNvSpPr>
          </xdr:nvSpPr>
          <xdr:spPr>
            <a:xfrm>
              <a:off x="748" y="639"/>
              <a:ext cx="62" cy="14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Line 122"/>
            <xdr:cNvSpPr>
              <a:spLocks/>
            </xdr:cNvSpPr>
          </xdr:nvSpPr>
          <xdr:spPr>
            <a:xfrm flipH="1">
              <a:off x="621" y="639"/>
              <a:ext cx="0" cy="1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123"/>
            <xdr:cNvSpPr>
              <a:spLocks/>
            </xdr:cNvSpPr>
          </xdr:nvSpPr>
          <xdr:spPr>
            <a:xfrm>
              <a:off x="974" y="638"/>
              <a:ext cx="0" cy="15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Polygon 124"/>
            <xdr:cNvSpPr>
              <a:spLocks/>
            </xdr:cNvSpPr>
          </xdr:nvSpPr>
          <xdr:spPr>
            <a:xfrm>
              <a:off x="956" y="789"/>
              <a:ext cx="18" cy="13"/>
            </a:xfrm>
            <a:custGeom>
              <a:pathLst>
                <a:path h="47" w="64">
                  <a:moveTo>
                    <a:pt x="0" y="47"/>
                  </a:moveTo>
                  <a:lnTo>
                    <a:pt x="0" y="0"/>
                  </a:lnTo>
                  <a:lnTo>
                    <a:pt x="64" y="0"/>
                  </a:lnTo>
                  <a:lnTo>
                    <a:pt x="64" y="47"/>
                  </a:lnTo>
                  <a:lnTo>
                    <a:pt x="0" y="4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5" name="Rectangle 141"/>
          <xdr:cNvSpPr>
            <a:spLocks/>
          </xdr:cNvSpPr>
        </xdr:nvSpPr>
        <xdr:spPr>
          <a:xfrm>
            <a:off x="201" y="859"/>
            <a:ext cx="12" cy="205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876300</xdr:colOff>
      <xdr:row>52</xdr:row>
      <xdr:rowOff>152400</xdr:rowOff>
    </xdr:from>
    <xdr:to>
      <xdr:col>2</xdr:col>
      <xdr:colOff>0</xdr:colOff>
      <xdr:row>60</xdr:row>
      <xdr:rowOff>57150</xdr:rowOff>
    </xdr:to>
    <xdr:sp>
      <xdr:nvSpPr>
        <xdr:cNvPr id="46" name="AutoShape 146"/>
        <xdr:cNvSpPr>
          <a:spLocks/>
        </xdr:cNvSpPr>
      </xdr:nvSpPr>
      <xdr:spPr>
        <a:xfrm>
          <a:off x="876300" y="9858375"/>
          <a:ext cx="2085975" cy="1209675"/>
        </a:xfrm>
        <a:custGeom>
          <a:pathLst>
            <a:path h="127" w="219">
              <a:moveTo>
                <a:pt x="150" y="0"/>
              </a:moveTo>
              <a:cubicBezTo>
                <a:pt x="127" y="12"/>
                <a:pt x="0" y="52"/>
                <a:pt x="12" y="73"/>
              </a:cubicBezTo>
              <a:cubicBezTo>
                <a:pt x="24" y="94"/>
                <a:pt x="176" y="116"/>
                <a:pt x="219" y="127"/>
              </a:cubicBezTo>
            </a:path>
          </a:pathLst>
        </a:custGeom>
        <a:noFill/>
        <a:ln w="5715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0.2995</cdr:y>
    </cdr:from>
    <cdr:to>
      <cdr:x>0.481</cdr:x>
      <cdr:y>0.44175</cdr:y>
    </cdr:to>
    <cdr:sp>
      <cdr:nvSpPr>
        <cdr:cNvPr id="1" name="Rectangle 1"/>
        <cdr:cNvSpPr>
          <a:spLocks/>
        </cdr:cNvSpPr>
      </cdr:nvSpPr>
      <cdr:spPr>
        <a:xfrm>
          <a:off x="1971675" y="923925"/>
          <a:ext cx="6191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Situation actuelle</a:t>
          </a:r>
        </a:p>
      </cdr:txBody>
    </cdr:sp>
  </cdr:relSizeAnchor>
  <cdr:relSizeAnchor xmlns:cdr="http://schemas.openxmlformats.org/drawingml/2006/chartDrawing">
    <cdr:from>
      <cdr:x>0.4245</cdr:x>
      <cdr:y>0.44175</cdr:y>
    </cdr:from>
    <cdr:to>
      <cdr:x>0.4245</cdr:x>
      <cdr:y>0.54525</cdr:y>
    </cdr:to>
    <cdr:sp>
      <cdr:nvSpPr>
        <cdr:cNvPr id="2" name="AutoShape 7"/>
        <cdr:cNvSpPr>
          <a:spLocks/>
        </cdr:cNvSpPr>
      </cdr:nvSpPr>
      <cdr:spPr>
        <a:xfrm>
          <a:off x="2286000" y="1362075"/>
          <a:ext cx="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190500</xdr:rowOff>
    </xdr:from>
    <xdr:to>
      <xdr:col>7</xdr:col>
      <xdr:colOff>47625</xdr:colOff>
      <xdr:row>41</xdr:row>
      <xdr:rowOff>9525</xdr:rowOff>
    </xdr:to>
    <xdr:graphicFrame>
      <xdr:nvGraphicFramePr>
        <xdr:cNvPr id="1" name="Chart 3"/>
        <xdr:cNvGraphicFramePr/>
      </xdr:nvGraphicFramePr>
      <xdr:xfrm>
        <a:off x="47625" y="5162550"/>
        <a:ext cx="54006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9"/>
  <sheetViews>
    <sheetView zoomScale="50" zoomScaleNormal="50" workbookViewId="0" topLeftCell="A49">
      <selection activeCell="E75" sqref="E75"/>
    </sheetView>
  </sheetViews>
  <sheetFormatPr defaultColWidth="9.140625" defaultRowHeight="12.75"/>
  <cols>
    <col min="1" max="1" width="20.57421875" style="0" customWidth="1"/>
    <col min="2" max="2" width="23.8515625" style="0" customWidth="1"/>
    <col min="3" max="3" width="24.28125" style="0" customWidth="1"/>
    <col min="4" max="4" width="26.00390625" style="0" customWidth="1"/>
    <col min="5" max="5" width="27.28125" style="0" customWidth="1"/>
    <col min="6" max="6" width="22.8515625" style="0" customWidth="1"/>
    <col min="7" max="7" width="23.421875" style="0" customWidth="1"/>
    <col min="8" max="16384" width="11.421875" style="0" customWidth="1"/>
  </cols>
  <sheetData>
    <row r="2" ht="31.5">
      <c r="A2" s="2" t="s">
        <v>31</v>
      </c>
    </row>
    <row r="3" spans="1:8" ht="13.5" thickBot="1">
      <c r="A3" s="70"/>
      <c r="B3" s="70"/>
      <c r="C3" s="70"/>
      <c r="D3" s="70"/>
      <c r="E3" s="70"/>
      <c r="F3" s="70"/>
      <c r="G3" s="70"/>
      <c r="H3" s="70"/>
    </row>
    <row r="30" spans="1:7" ht="12.75" customHeight="1">
      <c r="A30" s="32"/>
      <c r="B30" s="32"/>
      <c r="C30" s="32"/>
      <c r="D30" s="32"/>
      <c r="E30" s="91" t="s">
        <v>17</v>
      </c>
      <c r="G30" s="32"/>
    </row>
    <row r="31" spans="1:7" ht="27" thickBot="1">
      <c r="A31" s="40" t="s">
        <v>8</v>
      </c>
      <c r="B31" s="39"/>
      <c r="C31" s="38" t="s">
        <v>18</v>
      </c>
      <c r="D31" s="38" t="s">
        <v>19</v>
      </c>
      <c r="E31" s="92"/>
      <c r="F31" s="38" t="s">
        <v>37</v>
      </c>
      <c r="G31" s="38" t="s">
        <v>34</v>
      </c>
    </row>
    <row r="32" spans="1:7" ht="18">
      <c r="A32" s="93" t="s">
        <v>21</v>
      </c>
      <c r="B32" s="93"/>
      <c r="C32" s="78">
        <v>1</v>
      </c>
      <c r="D32" s="35">
        <f>E34*D34/(1+E34)</f>
        <v>0.24782608695652172</v>
      </c>
      <c r="G32" s="36">
        <f>+G33</f>
        <v>3</v>
      </c>
    </row>
    <row r="33" spans="1:7" ht="18">
      <c r="A33" s="94" t="s">
        <v>20</v>
      </c>
      <c r="B33" s="94"/>
      <c r="C33" s="35">
        <f>(C34*D34-C32*D32)/D33</f>
        <v>5.0249999999999995</v>
      </c>
      <c r="D33" s="35">
        <f>+D34-D32</f>
        <v>1.6521739130434783</v>
      </c>
      <c r="F33" s="19"/>
      <c r="G33" s="34">
        <f>+G34</f>
        <v>3</v>
      </c>
    </row>
    <row r="34" spans="1:7" ht="18">
      <c r="A34" s="94" t="s">
        <v>32</v>
      </c>
      <c r="B34" s="94"/>
      <c r="C34" s="79">
        <v>4.5</v>
      </c>
      <c r="D34" s="79">
        <v>1.9</v>
      </c>
      <c r="E34" s="80">
        <v>0.15</v>
      </c>
      <c r="F34" s="81">
        <v>80</v>
      </c>
      <c r="G34" s="81">
        <v>3</v>
      </c>
    </row>
    <row r="35" spans="1:6" ht="18">
      <c r="A35" s="5"/>
      <c r="B35" s="19"/>
      <c r="C35" s="19"/>
      <c r="D35" s="19"/>
      <c r="E35" s="19"/>
      <c r="F35" s="19"/>
    </row>
    <row r="36" spans="3:6" ht="18">
      <c r="C36" s="19"/>
      <c r="D36" s="19"/>
      <c r="E36" s="19"/>
      <c r="F36" s="19"/>
    </row>
    <row r="37" spans="1:6" ht="27" thickBot="1">
      <c r="A37" s="40" t="s">
        <v>15</v>
      </c>
      <c r="B37" s="37"/>
      <c r="C37" s="38" t="s">
        <v>18</v>
      </c>
      <c r="D37" s="38" t="s">
        <v>19</v>
      </c>
      <c r="E37" s="38" t="s">
        <v>37</v>
      </c>
      <c r="F37" s="38" t="s">
        <v>34</v>
      </c>
    </row>
    <row r="38" spans="1:6" ht="18">
      <c r="A38" s="93" t="s">
        <v>16</v>
      </c>
      <c r="B38" s="93"/>
      <c r="C38" s="78">
        <v>0.2</v>
      </c>
      <c r="D38" s="78">
        <v>0.6</v>
      </c>
      <c r="E38" s="82">
        <v>70</v>
      </c>
      <c r="F38" s="82">
        <v>2.9</v>
      </c>
    </row>
    <row r="39" spans="1:6" ht="18">
      <c r="A39" s="94" t="s">
        <v>25</v>
      </c>
      <c r="B39" s="94"/>
      <c r="C39" s="79">
        <v>0.1</v>
      </c>
      <c r="D39" s="79">
        <v>0.3</v>
      </c>
      <c r="E39" s="81">
        <v>50</v>
      </c>
      <c r="F39" s="81">
        <v>2.8</v>
      </c>
    </row>
    <row r="40" spans="1:6" ht="18">
      <c r="A40" s="5"/>
      <c r="B40" s="5"/>
      <c r="C40" s="5"/>
      <c r="D40" s="5"/>
      <c r="E40" s="5"/>
      <c r="F40" s="5"/>
    </row>
    <row r="45" spans="1:3" ht="12.75">
      <c r="A45" s="1"/>
      <c r="B45" s="1"/>
      <c r="C45" s="1"/>
    </row>
    <row r="49" spans="1:3" ht="12.75">
      <c r="A49" s="1"/>
      <c r="B49" s="1"/>
      <c r="C49" s="1"/>
    </row>
    <row r="51" ht="24" customHeight="1"/>
    <row r="60" ht="13.5" thickBot="1"/>
    <row r="61" spans="1:5" ht="20.25">
      <c r="A61" s="5"/>
      <c r="C61" s="88" t="s">
        <v>9</v>
      </c>
      <c r="D61" s="89"/>
      <c r="E61" s="90"/>
    </row>
    <row r="62" spans="1:7" ht="20.25">
      <c r="A62" s="5"/>
      <c r="C62" s="85" t="s">
        <v>10</v>
      </c>
      <c r="D62" s="86"/>
      <c r="E62" s="87"/>
      <c r="G62" s="5"/>
    </row>
    <row r="63" spans="1:7" ht="21" customHeight="1">
      <c r="A63" s="97" t="s">
        <v>14</v>
      </c>
      <c r="B63" s="98"/>
      <c r="C63" s="68" t="s">
        <v>29</v>
      </c>
      <c r="D63" s="41" t="s">
        <v>0</v>
      </c>
      <c r="E63" s="42" t="s">
        <v>30</v>
      </c>
      <c r="F63" s="33"/>
      <c r="G63" s="33"/>
    </row>
    <row r="64" spans="1:7" ht="20.25">
      <c r="A64" s="71" t="s">
        <v>20</v>
      </c>
      <c r="B64" s="43"/>
      <c r="C64" s="44">
        <f>+D33*F34</f>
        <v>132.17391304347825</v>
      </c>
      <c r="D64" s="45">
        <f>C64*G34</f>
        <v>396.52173913043475</v>
      </c>
      <c r="E64" s="46">
        <f>+C33</f>
        <v>5.0249999999999995</v>
      </c>
      <c r="F64" s="47" t="s">
        <v>24</v>
      </c>
      <c r="G64" s="33"/>
    </row>
    <row r="65" spans="1:7" ht="20.25">
      <c r="A65" s="72" t="s">
        <v>52</v>
      </c>
      <c r="B65" s="48"/>
      <c r="C65" s="49">
        <f>+D32*F34</f>
        <v>19.82608695652174</v>
      </c>
      <c r="D65" s="50">
        <f>+C65*G32</f>
        <v>59.47826086956522</v>
      </c>
      <c r="E65" s="51">
        <f>+C32</f>
        <v>1</v>
      </c>
      <c r="F65" s="47" t="s">
        <v>23</v>
      </c>
      <c r="G65" s="33"/>
    </row>
    <row r="66" spans="1:7" ht="21" customHeight="1">
      <c r="A66" s="97" t="s">
        <v>15</v>
      </c>
      <c r="B66" s="98"/>
      <c r="C66" s="65"/>
      <c r="D66" s="66"/>
      <c r="E66" s="67"/>
      <c r="F66" s="47"/>
      <c r="G66" s="33"/>
    </row>
    <row r="67" spans="1:7" ht="20.25">
      <c r="A67" s="72" t="s">
        <v>33</v>
      </c>
      <c r="B67" s="48"/>
      <c r="C67" s="44">
        <f>+E38*D38</f>
        <v>42</v>
      </c>
      <c r="D67" s="45">
        <f>+C67*F38</f>
        <v>121.8</v>
      </c>
      <c r="E67" s="46">
        <f>+C38</f>
        <v>0.2</v>
      </c>
      <c r="F67" s="47" t="s">
        <v>35</v>
      </c>
      <c r="G67" s="33"/>
    </row>
    <row r="68" spans="1:7" ht="21" thickBot="1">
      <c r="A68" s="73" t="s">
        <v>22</v>
      </c>
      <c r="B68" s="52"/>
      <c r="C68" s="53">
        <f>E39*D39</f>
        <v>15</v>
      </c>
      <c r="D68" s="54">
        <f>+C68*F39</f>
        <v>42</v>
      </c>
      <c r="E68" s="55">
        <f>+C39</f>
        <v>0.1</v>
      </c>
      <c r="F68" s="47" t="s">
        <v>36</v>
      </c>
      <c r="G68" s="33"/>
    </row>
    <row r="69" spans="1:7" ht="21.75" thickBot="1" thickTop="1">
      <c r="A69" s="74" t="s">
        <v>3</v>
      </c>
      <c r="B69" s="75"/>
      <c r="C69" s="76">
        <f>SUM(C64:C68)</f>
        <v>209</v>
      </c>
      <c r="D69" s="77">
        <f>SUM(D64:D68)</f>
        <v>619.8</v>
      </c>
      <c r="E69" s="33"/>
      <c r="F69" s="33"/>
      <c r="G69" s="33"/>
    </row>
    <row r="70" spans="5:8" ht="24" thickBot="1">
      <c r="E70" s="56">
        <f>+(D64*E64+D65*E65+D67*E67+D68*E68)/D69</f>
        <v>3.356824782187802</v>
      </c>
      <c r="F70" s="57" t="s">
        <v>13</v>
      </c>
      <c r="G70" s="58"/>
      <c r="H70" s="59"/>
    </row>
    <row r="71" spans="1:7" ht="21" thickBot="1">
      <c r="A71" s="5"/>
      <c r="C71" s="61" t="s">
        <v>11</v>
      </c>
      <c r="D71" s="61" t="s">
        <v>12</v>
      </c>
      <c r="E71" s="19"/>
      <c r="F71" s="5"/>
      <c r="G71" s="5"/>
    </row>
    <row r="72" spans="1:8" ht="24" thickBot="1">
      <c r="A72" s="95" t="s">
        <v>26</v>
      </c>
      <c r="B72" s="96"/>
      <c r="C72" s="60">
        <f>+(C68+C67)/(C64+C65)</f>
        <v>0.375</v>
      </c>
      <c r="D72" s="62">
        <f>+(D68+D67)/(D64+D65)</f>
        <v>0.3592105263157895</v>
      </c>
      <c r="E72" s="57" t="s">
        <v>57</v>
      </c>
      <c r="F72" s="58"/>
      <c r="G72" s="58"/>
      <c r="H72" s="59"/>
    </row>
    <row r="73" spans="1:6" ht="15.75" thickBot="1">
      <c r="A73" s="3"/>
      <c r="C73" s="3"/>
      <c r="D73" s="3"/>
      <c r="E73" s="3"/>
      <c r="F73" s="3"/>
    </row>
    <row r="74" spans="3:8" ht="24" thickBot="1">
      <c r="C74" s="60">
        <f>+(C65+C67+C68)/C64</f>
        <v>0.58125</v>
      </c>
      <c r="D74" s="62">
        <f>+(D65+D67+D68)/D64</f>
        <v>0.5630921052631579</v>
      </c>
      <c r="E74" s="57" t="s">
        <v>58</v>
      </c>
      <c r="F74" s="58"/>
      <c r="G74" s="58"/>
      <c r="H74" s="59"/>
    </row>
    <row r="78" ht="23.25">
      <c r="A78" s="64" t="s">
        <v>38</v>
      </c>
    </row>
    <row r="79" ht="23.25">
      <c r="A79" s="63" t="s">
        <v>39</v>
      </c>
    </row>
  </sheetData>
  <mergeCells count="11">
    <mergeCell ref="A72:B72"/>
    <mergeCell ref="A38:B38"/>
    <mergeCell ref="A39:B39"/>
    <mergeCell ref="A63:B63"/>
    <mergeCell ref="A66:B66"/>
    <mergeCell ref="C62:E62"/>
    <mergeCell ref="C61:E61"/>
    <mergeCell ref="E30:E31"/>
    <mergeCell ref="A32:B32"/>
    <mergeCell ref="A33:B33"/>
    <mergeCell ref="A34:B34"/>
  </mergeCells>
  <printOptions/>
  <pageMargins left="0.75" right="0.75" top="1" bottom="1" header="0.4921259845" footer="0.4921259845"/>
  <pageSetup fitToHeight="1" fitToWidth="1" horizontalDpi="600" verticalDpi="600" orientation="portrait" scale="50" r:id="rId2"/>
  <headerFooter alignWithMargins="0">
    <oddFooter>&amp;LFichier :&amp;F
Onglet :&amp;A&amp;CMine-Laboratoire
Val d'Or&amp;R&amp;D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="66" zoomScaleNormal="66" workbookViewId="0" topLeftCell="C2">
      <pane ySplit="1755" topLeftCell="BM26" activePane="bottomLeft" state="split"/>
      <selection pane="topLeft" activeCell="E8" sqref="E8"/>
      <selection pane="bottomLeft" activeCell="I27" sqref="I27"/>
    </sheetView>
  </sheetViews>
  <sheetFormatPr defaultColWidth="9.140625" defaultRowHeight="12.75"/>
  <cols>
    <col min="1" max="6" width="11.421875" style="0" customWidth="1"/>
    <col min="7" max="7" width="12.421875" style="0" customWidth="1"/>
    <col min="8" max="8" width="15.140625" style="0" customWidth="1"/>
    <col min="9" max="9" width="12.421875" style="0" customWidth="1"/>
    <col min="10" max="10" width="11.421875" style="0" customWidth="1"/>
    <col min="11" max="11" width="18.140625" style="0" customWidth="1"/>
    <col min="12" max="12" width="14.140625" style="0" customWidth="1"/>
    <col min="13" max="16384" width="11.421875" style="0" customWidth="1"/>
  </cols>
  <sheetData>
    <row r="2" ht="31.5">
      <c r="A2" s="2" t="s">
        <v>40</v>
      </c>
    </row>
    <row r="4" spans="1:12" ht="18">
      <c r="A4" s="102" t="s">
        <v>54</v>
      </c>
      <c r="B4" s="102"/>
      <c r="C4" s="102"/>
      <c r="D4" s="102" t="s">
        <v>56</v>
      </c>
      <c r="E4" s="102"/>
      <c r="F4" s="102"/>
      <c r="G4" s="103" t="s">
        <v>53</v>
      </c>
      <c r="H4" s="104"/>
      <c r="I4" s="105"/>
      <c r="J4" s="103" t="s">
        <v>28</v>
      </c>
      <c r="K4" s="104"/>
      <c r="L4" s="105"/>
    </row>
    <row r="5" spans="1:12" ht="15">
      <c r="A5" s="4" t="s">
        <v>8</v>
      </c>
      <c r="B5" s="4" t="s">
        <v>55</v>
      </c>
      <c r="C5" s="4" t="s">
        <v>7</v>
      </c>
      <c r="D5" s="4" t="s">
        <v>8</v>
      </c>
      <c r="E5" s="4" t="s">
        <v>4</v>
      </c>
      <c r="F5" s="4" t="s">
        <v>5</v>
      </c>
      <c r="G5" s="4" t="s">
        <v>8</v>
      </c>
      <c r="H5" s="4" t="s">
        <v>41</v>
      </c>
      <c r="I5" s="4" t="s">
        <v>42</v>
      </c>
      <c r="J5" s="4" t="s">
        <v>8</v>
      </c>
      <c r="K5" s="4" t="s">
        <v>41</v>
      </c>
      <c r="L5" s="4" t="s">
        <v>42</v>
      </c>
    </row>
    <row r="6" spans="1:12" ht="15">
      <c r="A6" s="83">
        <v>80</v>
      </c>
      <c r="B6" s="83">
        <v>70</v>
      </c>
      <c r="C6" s="83">
        <v>50</v>
      </c>
      <c r="D6" s="84">
        <v>1.9</v>
      </c>
      <c r="E6" s="84">
        <v>0.6</v>
      </c>
      <c r="F6" s="84">
        <v>0.3</v>
      </c>
      <c r="G6" s="84">
        <v>4.5</v>
      </c>
      <c r="H6" s="84">
        <v>0.2</v>
      </c>
      <c r="I6" s="84">
        <v>0.1</v>
      </c>
      <c r="J6" s="83">
        <v>3</v>
      </c>
      <c r="K6" s="83">
        <v>2.9</v>
      </c>
      <c r="L6" s="83">
        <v>2.8</v>
      </c>
    </row>
    <row r="7" spans="1:3" ht="12.75">
      <c r="A7" s="1"/>
      <c r="B7" s="1"/>
      <c r="C7" s="1"/>
    </row>
    <row r="8" spans="5:14" ht="12.75">
      <c r="E8" s="1" t="s">
        <v>41</v>
      </c>
      <c r="F8" s="1" t="s">
        <v>42</v>
      </c>
      <c r="G8" s="1" t="s">
        <v>46</v>
      </c>
      <c r="H8" s="106" t="s">
        <v>8</v>
      </c>
      <c r="I8" s="106" t="s">
        <v>47</v>
      </c>
      <c r="J8" s="106" t="s">
        <v>48</v>
      </c>
      <c r="K8" s="106" t="s">
        <v>46</v>
      </c>
      <c r="L8" s="106" t="s">
        <v>49</v>
      </c>
      <c r="M8" s="106" t="s">
        <v>50</v>
      </c>
      <c r="N8" s="106" t="s">
        <v>51</v>
      </c>
    </row>
    <row r="9" spans="1:14" ht="15">
      <c r="A9" s="24">
        <f>$A$6</f>
        <v>80</v>
      </c>
      <c r="B9" s="24">
        <f aca="true" t="shared" si="0" ref="B9:B15">$B$6</f>
        <v>70</v>
      </c>
      <c r="C9" s="24">
        <f aca="true" t="shared" si="1" ref="C9:C15">$C$6</f>
        <v>50</v>
      </c>
      <c r="D9" s="24">
        <f aca="true" t="shared" si="2" ref="D9:D15">$D$6</f>
        <v>1.9</v>
      </c>
      <c r="E9" s="24">
        <f>IF(E10-0.1&lt;0,0,E10-0.1)</f>
        <v>0</v>
      </c>
      <c r="F9" s="24">
        <f aca="true" t="shared" si="3" ref="F9:F15">IF(F10-0.1&lt;0,0,F10-0.1)</f>
        <v>0</v>
      </c>
      <c r="G9" s="24">
        <f>F9+E9</f>
        <v>0</v>
      </c>
      <c r="H9" s="25">
        <f>$A$6*$D$6*$J$6</f>
        <v>456</v>
      </c>
      <c r="I9" s="25">
        <f aca="true" t="shared" si="4" ref="I9:I24">+B9*E9*$K$6</f>
        <v>0</v>
      </c>
      <c r="J9" s="25">
        <f aca="true" t="shared" si="5" ref="J9:J24">+C9*F9*$L$6</f>
        <v>0</v>
      </c>
      <c r="K9" s="25">
        <f>+J9+I9</f>
        <v>0</v>
      </c>
      <c r="L9" s="26">
        <f>IF(H9&lt;=0,0,I9/H9)</f>
        <v>0</v>
      </c>
      <c r="M9" s="26">
        <f>+J9/H9</f>
        <v>0</v>
      </c>
      <c r="N9" s="26">
        <f>+K9/H9</f>
        <v>0</v>
      </c>
    </row>
    <row r="10" spans="1:14" ht="15">
      <c r="A10" s="24">
        <f aca="true" t="shared" si="6" ref="A10:A15">$A$6</f>
        <v>80</v>
      </c>
      <c r="B10" s="24">
        <f t="shared" si="0"/>
        <v>70</v>
      </c>
      <c r="C10" s="24">
        <f t="shared" si="1"/>
        <v>50</v>
      </c>
      <c r="D10" s="24">
        <f t="shared" si="2"/>
        <v>1.9</v>
      </c>
      <c r="E10" s="24">
        <f aca="true" t="shared" si="7" ref="E10:E15">IF(E11-0.1&lt;0,0,E11-0.1)</f>
        <v>2.7755575615628914E-17</v>
      </c>
      <c r="F10" s="24">
        <f t="shared" si="3"/>
        <v>0</v>
      </c>
      <c r="G10" s="24">
        <f aca="true" t="shared" si="8" ref="G10:G24">F10+E10</f>
        <v>2.7755575615628914E-17</v>
      </c>
      <c r="H10" s="25">
        <f aca="true" t="shared" si="9" ref="H10:H15">$A$6*$D$6*$J$6</f>
        <v>456</v>
      </c>
      <c r="I10" s="25">
        <f t="shared" si="4"/>
        <v>5.6343818499726694E-15</v>
      </c>
      <c r="J10" s="25">
        <f t="shared" si="5"/>
        <v>0</v>
      </c>
      <c r="K10" s="25">
        <f aca="true" t="shared" si="10" ref="K10:K24">+J10+I10</f>
        <v>5.6343818499726694E-15</v>
      </c>
      <c r="L10" s="26">
        <f>IF(H10&lt;=0,0,I10/H10)</f>
        <v>1.2356100548185678E-17</v>
      </c>
      <c r="M10" s="26">
        <f aca="true" t="shared" si="11" ref="M10:M24">+J10/H10</f>
        <v>0</v>
      </c>
      <c r="N10" s="26">
        <f aca="true" t="shared" si="12" ref="N10:N24">+K10/H10</f>
        <v>1.2356100548185678E-17</v>
      </c>
    </row>
    <row r="11" spans="1:14" ht="15">
      <c r="A11" s="24">
        <f t="shared" si="6"/>
        <v>80</v>
      </c>
      <c r="B11" s="24">
        <f t="shared" si="0"/>
        <v>70</v>
      </c>
      <c r="C11" s="24">
        <f t="shared" si="1"/>
        <v>50</v>
      </c>
      <c r="D11" s="24">
        <f t="shared" si="2"/>
        <v>1.9</v>
      </c>
      <c r="E11" s="24">
        <f t="shared" si="7"/>
        <v>0.10000000000000003</v>
      </c>
      <c r="F11" s="24">
        <f t="shared" si="3"/>
        <v>0</v>
      </c>
      <c r="G11" s="24">
        <f t="shared" si="8"/>
        <v>0.10000000000000003</v>
      </c>
      <c r="H11" s="25">
        <f t="shared" si="9"/>
        <v>456</v>
      </c>
      <c r="I11" s="25">
        <f t="shared" si="4"/>
        <v>20.300000000000008</v>
      </c>
      <c r="J11" s="25">
        <f t="shared" si="5"/>
        <v>0</v>
      </c>
      <c r="K11" s="25">
        <f t="shared" si="10"/>
        <v>20.300000000000008</v>
      </c>
      <c r="L11" s="26">
        <f>IF(H11&lt;=0,0,I11/H11)</f>
        <v>0.04451754385964914</v>
      </c>
      <c r="M11" s="26">
        <f t="shared" si="11"/>
        <v>0</v>
      </c>
      <c r="N11" s="26">
        <f t="shared" si="12"/>
        <v>0.04451754385964914</v>
      </c>
    </row>
    <row r="12" spans="1:14" ht="15">
      <c r="A12" s="24">
        <f t="shared" si="6"/>
        <v>80</v>
      </c>
      <c r="B12" s="24">
        <f t="shared" si="0"/>
        <v>70</v>
      </c>
      <c r="C12" s="24">
        <f t="shared" si="1"/>
        <v>50</v>
      </c>
      <c r="D12" s="24">
        <f t="shared" si="2"/>
        <v>1.9</v>
      </c>
      <c r="E12" s="24">
        <f t="shared" si="7"/>
        <v>0.20000000000000004</v>
      </c>
      <c r="F12" s="24">
        <f t="shared" si="3"/>
        <v>0</v>
      </c>
      <c r="G12" s="24">
        <f t="shared" si="8"/>
        <v>0.20000000000000004</v>
      </c>
      <c r="H12" s="25">
        <f t="shared" si="9"/>
        <v>456</v>
      </c>
      <c r="I12" s="25">
        <f t="shared" si="4"/>
        <v>40.60000000000001</v>
      </c>
      <c r="J12" s="25">
        <f t="shared" si="5"/>
        <v>0</v>
      </c>
      <c r="K12" s="25">
        <f t="shared" si="10"/>
        <v>40.60000000000001</v>
      </c>
      <c r="L12" s="26">
        <f aca="true" t="shared" si="13" ref="L12:L24">IF(H12&lt;=0,0,I12/H12)</f>
        <v>0.08903508771929826</v>
      </c>
      <c r="M12" s="26">
        <f t="shared" si="11"/>
        <v>0</v>
      </c>
      <c r="N12" s="26">
        <f t="shared" si="12"/>
        <v>0.08903508771929826</v>
      </c>
    </row>
    <row r="13" spans="1:14" ht="15">
      <c r="A13" s="24">
        <f t="shared" si="6"/>
        <v>80</v>
      </c>
      <c r="B13" s="24">
        <f t="shared" si="0"/>
        <v>70</v>
      </c>
      <c r="C13" s="24">
        <f t="shared" si="1"/>
        <v>50</v>
      </c>
      <c r="D13" s="24">
        <f t="shared" si="2"/>
        <v>1.9</v>
      </c>
      <c r="E13" s="24">
        <f t="shared" si="7"/>
        <v>0.30000000000000004</v>
      </c>
      <c r="F13" s="24">
        <f t="shared" si="3"/>
        <v>0</v>
      </c>
      <c r="G13" s="24">
        <f t="shared" si="8"/>
        <v>0.30000000000000004</v>
      </c>
      <c r="H13" s="25">
        <f t="shared" si="9"/>
        <v>456</v>
      </c>
      <c r="I13" s="25">
        <f t="shared" si="4"/>
        <v>60.900000000000006</v>
      </c>
      <c r="J13" s="25">
        <f t="shared" si="5"/>
        <v>0</v>
      </c>
      <c r="K13" s="25">
        <f t="shared" si="10"/>
        <v>60.900000000000006</v>
      </c>
      <c r="L13" s="26">
        <f t="shared" si="13"/>
        <v>0.13355263157894737</v>
      </c>
      <c r="M13" s="26">
        <f t="shared" si="11"/>
        <v>0</v>
      </c>
      <c r="N13" s="26">
        <f t="shared" si="12"/>
        <v>0.13355263157894737</v>
      </c>
    </row>
    <row r="14" spans="1:14" ht="15">
      <c r="A14" s="24">
        <f t="shared" si="6"/>
        <v>80</v>
      </c>
      <c r="B14" s="24">
        <f t="shared" si="0"/>
        <v>70</v>
      </c>
      <c r="C14" s="24">
        <f t="shared" si="1"/>
        <v>50</v>
      </c>
      <c r="D14" s="24">
        <f t="shared" si="2"/>
        <v>1.9</v>
      </c>
      <c r="E14" s="24">
        <f t="shared" si="7"/>
        <v>0.4</v>
      </c>
      <c r="F14" s="24">
        <f t="shared" si="3"/>
        <v>0.09999999999999998</v>
      </c>
      <c r="G14" s="24">
        <f t="shared" si="8"/>
        <v>0.5</v>
      </c>
      <c r="H14" s="25">
        <f t="shared" si="9"/>
        <v>456</v>
      </c>
      <c r="I14" s="25">
        <f t="shared" si="4"/>
        <v>81.2</v>
      </c>
      <c r="J14" s="25">
        <f t="shared" si="5"/>
        <v>13.999999999999996</v>
      </c>
      <c r="K14" s="25">
        <f t="shared" si="10"/>
        <v>95.2</v>
      </c>
      <c r="L14" s="26">
        <f t="shared" si="13"/>
        <v>0.1780701754385965</v>
      </c>
      <c r="M14" s="26">
        <f t="shared" si="11"/>
        <v>0.030701754385964904</v>
      </c>
      <c r="N14" s="26">
        <f t="shared" si="12"/>
        <v>0.20877192982456141</v>
      </c>
    </row>
    <row r="15" spans="1:14" ht="15">
      <c r="A15" s="24">
        <f t="shared" si="6"/>
        <v>80</v>
      </c>
      <c r="B15" s="24">
        <f t="shared" si="0"/>
        <v>70</v>
      </c>
      <c r="C15" s="24">
        <f t="shared" si="1"/>
        <v>50</v>
      </c>
      <c r="D15" s="24">
        <f t="shared" si="2"/>
        <v>1.9</v>
      </c>
      <c r="E15" s="24">
        <f t="shared" si="7"/>
        <v>0.5</v>
      </c>
      <c r="F15" s="24">
        <f t="shared" si="3"/>
        <v>0.19999999999999998</v>
      </c>
      <c r="G15" s="24">
        <f t="shared" si="8"/>
        <v>0.7</v>
      </c>
      <c r="H15" s="25">
        <f t="shared" si="9"/>
        <v>456</v>
      </c>
      <c r="I15" s="25">
        <f t="shared" si="4"/>
        <v>101.5</v>
      </c>
      <c r="J15" s="25">
        <f t="shared" si="5"/>
        <v>28</v>
      </c>
      <c r="K15" s="25">
        <f t="shared" si="10"/>
        <v>129.5</v>
      </c>
      <c r="L15" s="26">
        <f t="shared" si="13"/>
        <v>0.2225877192982456</v>
      </c>
      <c r="M15" s="26">
        <f t="shared" si="11"/>
        <v>0.06140350877192982</v>
      </c>
      <c r="N15" s="26">
        <f t="shared" si="12"/>
        <v>0.28399122807017546</v>
      </c>
    </row>
    <row r="16" spans="1:15" ht="18">
      <c r="A16" s="28">
        <f aca="true" t="shared" si="14" ref="A16:F16">A6</f>
        <v>80</v>
      </c>
      <c r="B16" s="28">
        <f>$B$6</f>
        <v>70</v>
      </c>
      <c r="C16" s="28">
        <f>$C$6</f>
        <v>50</v>
      </c>
      <c r="D16" s="28">
        <f>$D$6</f>
        <v>1.9</v>
      </c>
      <c r="E16" s="29">
        <f t="shared" si="14"/>
        <v>0.6</v>
      </c>
      <c r="F16" s="29">
        <f t="shared" si="14"/>
        <v>0.3</v>
      </c>
      <c r="G16" s="28">
        <f t="shared" si="8"/>
        <v>0.8999999999999999</v>
      </c>
      <c r="H16" s="29">
        <f>$A$6*$D$6*$J$6</f>
        <v>456</v>
      </c>
      <c r="I16" s="29">
        <f t="shared" si="4"/>
        <v>121.8</v>
      </c>
      <c r="J16" s="29">
        <f t="shared" si="5"/>
        <v>42</v>
      </c>
      <c r="K16" s="29">
        <f t="shared" si="10"/>
        <v>163.8</v>
      </c>
      <c r="L16" s="30">
        <f t="shared" si="13"/>
        <v>0.26710526315789473</v>
      </c>
      <c r="M16" s="30">
        <f t="shared" si="11"/>
        <v>0.09210526315789473</v>
      </c>
      <c r="N16" s="30">
        <f t="shared" si="12"/>
        <v>0.3592105263157895</v>
      </c>
      <c r="O16" s="69" t="s">
        <v>27</v>
      </c>
    </row>
    <row r="17" spans="1:14" ht="15">
      <c r="A17" s="24">
        <f aca="true" t="shared" si="15" ref="A17:A24">$A$6</f>
        <v>80</v>
      </c>
      <c r="B17" s="24">
        <f aca="true" t="shared" si="16" ref="B17:B24">$B$6</f>
        <v>70</v>
      </c>
      <c r="C17" s="24">
        <f aca="true" t="shared" si="17" ref="C17:C24">$C$6</f>
        <v>50</v>
      </c>
      <c r="D17" s="24">
        <f aca="true" t="shared" si="18" ref="D17:D24">$D$6</f>
        <v>1.9</v>
      </c>
      <c r="E17" s="24">
        <f>E16+0.1</f>
        <v>0.7</v>
      </c>
      <c r="F17" s="24">
        <f aca="true" t="shared" si="19" ref="E17:F24">F16+0.1</f>
        <v>0.4</v>
      </c>
      <c r="G17" s="24">
        <f t="shared" si="8"/>
        <v>1.1</v>
      </c>
      <c r="H17" s="25">
        <f aca="true" t="shared" si="20" ref="H17:H24">$A$6*$D$6*$J$6</f>
        <v>456</v>
      </c>
      <c r="I17" s="25">
        <f t="shared" si="4"/>
        <v>142.1</v>
      </c>
      <c r="J17" s="25">
        <f t="shared" si="5"/>
        <v>56</v>
      </c>
      <c r="K17" s="25">
        <f t="shared" si="10"/>
        <v>198.1</v>
      </c>
      <c r="L17" s="26">
        <f t="shared" si="13"/>
        <v>0.31162280701754386</v>
      </c>
      <c r="M17" s="26">
        <f t="shared" si="11"/>
        <v>0.12280701754385964</v>
      </c>
      <c r="N17" s="26">
        <f t="shared" si="12"/>
        <v>0.4344298245614035</v>
      </c>
    </row>
    <row r="18" spans="1:14" ht="15">
      <c r="A18" s="24">
        <f t="shared" si="15"/>
        <v>80</v>
      </c>
      <c r="B18" s="24">
        <f t="shared" si="16"/>
        <v>70</v>
      </c>
      <c r="C18" s="24">
        <f t="shared" si="17"/>
        <v>50</v>
      </c>
      <c r="D18" s="24">
        <f t="shared" si="18"/>
        <v>1.9</v>
      </c>
      <c r="E18" s="24">
        <f t="shared" si="19"/>
        <v>0.7999999999999999</v>
      </c>
      <c r="F18" s="24">
        <f t="shared" si="19"/>
        <v>0.5</v>
      </c>
      <c r="G18" s="24">
        <f t="shared" si="8"/>
        <v>1.2999999999999998</v>
      </c>
      <c r="H18" s="25">
        <f t="shared" si="20"/>
        <v>456</v>
      </c>
      <c r="I18" s="25">
        <f t="shared" si="4"/>
        <v>162.39999999999998</v>
      </c>
      <c r="J18" s="25">
        <f t="shared" si="5"/>
        <v>70</v>
      </c>
      <c r="K18" s="25">
        <f t="shared" si="10"/>
        <v>232.39999999999998</v>
      </c>
      <c r="L18" s="26">
        <f t="shared" si="13"/>
        <v>0.3561403508771929</v>
      </c>
      <c r="M18" s="26">
        <f t="shared" si="11"/>
        <v>0.15350877192982457</v>
      </c>
      <c r="N18" s="26">
        <f t="shared" si="12"/>
        <v>0.5096491228070175</v>
      </c>
    </row>
    <row r="19" spans="1:14" ht="15">
      <c r="A19" s="24">
        <f t="shared" si="15"/>
        <v>80</v>
      </c>
      <c r="B19" s="24">
        <f t="shared" si="16"/>
        <v>70</v>
      </c>
      <c r="C19" s="24">
        <f t="shared" si="17"/>
        <v>50</v>
      </c>
      <c r="D19" s="24">
        <f t="shared" si="18"/>
        <v>1.9</v>
      </c>
      <c r="E19" s="24">
        <f t="shared" si="19"/>
        <v>0.8999999999999999</v>
      </c>
      <c r="F19" s="24">
        <f t="shared" si="19"/>
        <v>0.6</v>
      </c>
      <c r="G19" s="24">
        <f t="shared" si="8"/>
        <v>1.5</v>
      </c>
      <c r="H19" s="25">
        <f t="shared" si="20"/>
        <v>456</v>
      </c>
      <c r="I19" s="25">
        <f t="shared" si="4"/>
        <v>182.69999999999996</v>
      </c>
      <c r="J19" s="25">
        <f t="shared" si="5"/>
        <v>84</v>
      </c>
      <c r="K19" s="25">
        <f t="shared" si="10"/>
        <v>266.69999999999993</v>
      </c>
      <c r="L19" s="26">
        <f t="shared" si="13"/>
        <v>0.400657894736842</v>
      </c>
      <c r="M19" s="26">
        <f t="shared" si="11"/>
        <v>0.18421052631578946</v>
      </c>
      <c r="N19" s="26">
        <f t="shared" si="12"/>
        <v>0.5848684210526315</v>
      </c>
    </row>
    <row r="20" spans="1:14" ht="15">
      <c r="A20" s="24">
        <f t="shared" si="15"/>
        <v>80</v>
      </c>
      <c r="B20" s="24">
        <f t="shared" si="16"/>
        <v>70</v>
      </c>
      <c r="C20" s="24">
        <f t="shared" si="17"/>
        <v>50</v>
      </c>
      <c r="D20" s="24">
        <f t="shared" si="18"/>
        <v>1.9</v>
      </c>
      <c r="E20" s="24">
        <f t="shared" si="19"/>
        <v>0.9999999999999999</v>
      </c>
      <c r="F20" s="24">
        <f t="shared" si="19"/>
        <v>0.7</v>
      </c>
      <c r="G20" s="24">
        <f t="shared" si="8"/>
        <v>1.6999999999999997</v>
      </c>
      <c r="H20" s="25">
        <f t="shared" si="20"/>
        <v>456</v>
      </c>
      <c r="I20" s="25">
        <f t="shared" si="4"/>
        <v>202.99999999999994</v>
      </c>
      <c r="J20" s="25">
        <f t="shared" si="5"/>
        <v>98</v>
      </c>
      <c r="K20" s="25">
        <f t="shared" si="10"/>
        <v>300.99999999999994</v>
      </c>
      <c r="L20" s="26">
        <f t="shared" si="13"/>
        <v>0.4451754385964911</v>
      </c>
      <c r="M20" s="26">
        <f t="shared" si="11"/>
        <v>0.2149122807017544</v>
      </c>
      <c r="N20" s="26">
        <f t="shared" si="12"/>
        <v>0.6600877192982455</v>
      </c>
    </row>
    <row r="21" spans="1:14" ht="15">
      <c r="A21" s="24">
        <f t="shared" si="15"/>
        <v>80</v>
      </c>
      <c r="B21" s="24">
        <f t="shared" si="16"/>
        <v>70</v>
      </c>
      <c r="C21" s="24">
        <f t="shared" si="17"/>
        <v>50</v>
      </c>
      <c r="D21" s="24">
        <f t="shared" si="18"/>
        <v>1.9</v>
      </c>
      <c r="E21" s="24">
        <f t="shared" si="19"/>
        <v>1.0999999999999999</v>
      </c>
      <c r="F21" s="24">
        <f t="shared" si="19"/>
        <v>0.7999999999999999</v>
      </c>
      <c r="G21" s="24">
        <f t="shared" si="8"/>
        <v>1.9</v>
      </c>
      <c r="H21" s="25">
        <f t="shared" si="20"/>
        <v>456</v>
      </c>
      <c r="I21" s="25">
        <f t="shared" si="4"/>
        <v>223.29999999999995</v>
      </c>
      <c r="J21" s="25">
        <f t="shared" si="5"/>
        <v>112</v>
      </c>
      <c r="K21" s="25">
        <f t="shared" si="10"/>
        <v>335.29999999999995</v>
      </c>
      <c r="L21" s="26">
        <f t="shared" si="13"/>
        <v>0.48969298245614024</v>
      </c>
      <c r="M21" s="26">
        <f t="shared" si="11"/>
        <v>0.24561403508771928</v>
      </c>
      <c r="N21" s="26">
        <f t="shared" si="12"/>
        <v>0.7353070175438595</v>
      </c>
    </row>
    <row r="22" spans="1:14" ht="15">
      <c r="A22" s="24">
        <f t="shared" si="15"/>
        <v>80</v>
      </c>
      <c r="B22" s="24">
        <f t="shared" si="16"/>
        <v>70</v>
      </c>
      <c r="C22" s="24">
        <f t="shared" si="17"/>
        <v>50</v>
      </c>
      <c r="D22" s="24">
        <f t="shared" si="18"/>
        <v>1.9</v>
      </c>
      <c r="E22" s="24">
        <f t="shared" si="19"/>
        <v>1.2</v>
      </c>
      <c r="F22" s="24">
        <f t="shared" si="19"/>
        <v>0.8999999999999999</v>
      </c>
      <c r="G22" s="24">
        <f t="shared" si="8"/>
        <v>2.0999999999999996</v>
      </c>
      <c r="H22" s="25">
        <f t="shared" si="20"/>
        <v>456</v>
      </c>
      <c r="I22" s="25">
        <f t="shared" si="4"/>
        <v>243.6</v>
      </c>
      <c r="J22" s="25">
        <f t="shared" si="5"/>
        <v>125.99999999999997</v>
      </c>
      <c r="K22" s="25">
        <f t="shared" si="10"/>
        <v>369.59999999999997</v>
      </c>
      <c r="L22" s="26">
        <f t="shared" si="13"/>
        <v>0.5342105263157895</v>
      </c>
      <c r="M22" s="26">
        <f t="shared" si="11"/>
        <v>0.2763157894736841</v>
      </c>
      <c r="N22" s="26">
        <f t="shared" si="12"/>
        <v>0.8105263157894737</v>
      </c>
    </row>
    <row r="23" spans="1:14" ht="15">
      <c r="A23" s="24">
        <f t="shared" si="15"/>
        <v>80</v>
      </c>
      <c r="B23" s="24">
        <f t="shared" si="16"/>
        <v>70</v>
      </c>
      <c r="C23" s="24">
        <f t="shared" si="17"/>
        <v>50</v>
      </c>
      <c r="D23" s="24">
        <f t="shared" si="18"/>
        <v>1.9</v>
      </c>
      <c r="E23" s="24">
        <f t="shared" si="19"/>
        <v>1.3</v>
      </c>
      <c r="F23" s="24">
        <f t="shared" si="19"/>
        <v>0.9999999999999999</v>
      </c>
      <c r="G23" s="24">
        <f t="shared" si="8"/>
        <v>2.3</v>
      </c>
      <c r="H23" s="25">
        <f t="shared" si="20"/>
        <v>456</v>
      </c>
      <c r="I23" s="25">
        <f t="shared" si="4"/>
        <v>263.9</v>
      </c>
      <c r="J23" s="25">
        <f t="shared" si="5"/>
        <v>139.99999999999997</v>
      </c>
      <c r="K23" s="25">
        <f t="shared" si="10"/>
        <v>403.9</v>
      </c>
      <c r="L23" s="26">
        <f t="shared" si="13"/>
        <v>0.5787280701754386</v>
      </c>
      <c r="M23" s="26">
        <f t="shared" si="11"/>
        <v>0.3070175438596491</v>
      </c>
      <c r="N23" s="26">
        <f t="shared" si="12"/>
        <v>0.8857456140350877</v>
      </c>
    </row>
    <row r="24" spans="1:14" ht="15">
      <c r="A24" s="24">
        <f t="shared" si="15"/>
        <v>80</v>
      </c>
      <c r="B24" s="24">
        <f t="shared" si="16"/>
        <v>70</v>
      </c>
      <c r="C24" s="24">
        <f t="shared" si="17"/>
        <v>50</v>
      </c>
      <c r="D24" s="24">
        <f t="shared" si="18"/>
        <v>1.9</v>
      </c>
      <c r="E24" s="24">
        <f t="shared" si="19"/>
        <v>1.4000000000000001</v>
      </c>
      <c r="F24" s="24">
        <f t="shared" si="19"/>
        <v>1.0999999999999999</v>
      </c>
      <c r="G24" s="24">
        <f t="shared" si="8"/>
        <v>2.5</v>
      </c>
      <c r="H24" s="25">
        <f t="shared" si="20"/>
        <v>456</v>
      </c>
      <c r="I24" s="25">
        <f t="shared" si="4"/>
        <v>284.20000000000005</v>
      </c>
      <c r="J24" s="25">
        <f t="shared" si="5"/>
        <v>153.99999999999997</v>
      </c>
      <c r="K24" s="25">
        <f t="shared" si="10"/>
        <v>438.20000000000005</v>
      </c>
      <c r="L24" s="26">
        <f t="shared" si="13"/>
        <v>0.6232456140350878</v>
      </c>
      <c r="M24" s="26">
        <f t="shared" si="11"/>
        <v>0.337719298245614</v>
      </c>
      <c r="N24" s="26">
        <f t="shared" si="12"/>
        <v>0.9609649122807018</v>
      </c>
    </row>
    <row r="25" ht="18">
      <c r="F25" s="5"/>
    </row>
    <row r="26" spans="6:14" ht="18.75" thickBot="1">
      <c r="F26" s="5"/>
      <c r="J26" s="5"/>
      <c r="K26" s="5"/>
      <c r="L26" s="5"/>
      <c r="M26" s="5"/>
      <c r="N26" s="5"/>
    </row>
    <row r="27" spans="10:14" ht="18">
      <c r="J27" s="5"/>
      <c r="K27" s="99" t="s">
        <v>6</v>
      </c>
      <c r="L27" s="100"/>
      <c r="M27" s="101"/>
      <c r="N27" s="5"/>
    </row>
    <row r="28" spans="5:14" ht="18.75" thickBot="1">
      <c r="E28" s="27"/>
      <c r="F28" s="27"/>
      <c r="G28" s="27"/>
      <c r="J28" s="5"/>
      <c r="K28" s="21" t="s">
        <v>29</v>
      </c>
      <c r="L28" s="22" t="s">
        <v>0</v>
      </c>
      <c r="M28" s="23" t="s">
        <v>30</v>
      </c>
      <c r="N28" s="5"/>
    </row>
    <row r="29" spans="5:14" ht="18">
      <c r="E29" s="27"/>
      <c r="F29" s="27"/>
      <c r="G29" s="27"/>
      <c r="J29" s="31" t="s">
        <v>1</v>
      </c>
      <c r="K29" s="6">
        <f>+A6*D6</f>
        <v>152</v>
      </c>
      <c r="L29" s="7">
        <f>K29*J6</f>
        <v>456</v>
      </c>
      <c r="M29" s="8">
        <f>+G6</f>
        <v>4.5</v>
      </c>
      <c r="N29" s="9" t="s">
        <v>43</v>
      </c>
    </row>
    <row r="30" spans="5:14" ht="18">
      <c r="E30" s="27"/>
      <c r="F30" s="27"/>
      <c r="G30" s="27"/>
      <c r="J30" s="31" t="s">
        <v>33</v>
      </c>
      <c r="K30" s="10">
        <f>+B6*E6</f>
        <v>42</v>
      </c>
      <c r="L30" s="11">
        <f>+K30*K6</f>
        <v>121.8</v>
      </c>
      <c r="M30" s="12">
        <f>+H6</f>
        <v>0.2</v>
      </c>
      <c r="N30" s="9" t="s">
        <v>44</v>
      </c>
    </row>
    <row r="31" spans="5:14" ht="18.75" thickBot="1">
      <c r="E31" s="27"/>
      <c r="F31" s="27"/>
      <c r="G31" s="27"/>
      <c r="J31" s="31" t="s">
        <v>22</v>
      </c>
      <c r="K31" s="13">
        <f>C6*F6</f>
        <v>15</v>
      </c>
      <c r="L31" s="14">
        <f>+K31*L6</f>
        <v>42</v>
      </c>
      <c r="M31" s="15">
        <f>+I6</f>
        <v>0.1</v>
      </c>
      <c r="N31" s="9" t="s">
        <v>44</v>
      </c>
    </row>
    <row r="32" spans="5:14" ht="19.5" thickBot="1" thickTop="1">
      <c r="E32" s="27"/>
      <c r="F32" s="27"/>
      <c r="G32" s="27"/>
      <c r="J32" s="31" t="s">
        <v>3</v>
      </c>
      <c r="K32" s="16">
        <f>SUM(K29:K31)</f>
        <v>209</v>
      </c>
      <c r="L32" s="17">
        <f>SUM(L29:L31)</f>
        <v>619.8</v>
      </c>
      <c r="M32" s="18">
        <f>+(L29*M29+L30*M30+L31*M31)/L32</f>
        <v>3.3568247821878026</v>
      </c>
      <c r="N32" s="9" t="s">
        <v>45</v>
      </c>
    </row>
    <row r="33" spans="5:14" ht="18">
      <c r="E33" s="27"/>
      <c r="F33" s="27"/>
      <c r="G33" s="27"/>
      <c r="J33" s="31"/>
      <c r="K33" s="19" t="s">
        <v>11</v>
      </c>
      <c r="L33" s="19" t="s">
        <v>12</v>
      </c>
      <c r="M33" s="19"/>
      <c r="N33" s="5"/>
    </row>
    <row r="34" spans="5:14" ht="18">
      <c r="E34" s="27"/>
      <c r="F34" s="27"/>
      <c r="G34" s="27"/>
      <c r="J34" s="31" t="s">
        <v>2</v>
      </c>
      <c r="K34" s="20">
        <f>+(K31+K30)/K29</f>
        <v>0.375</v>
      </c>
      <c r="L34" s="20">
        <f>+(L31+L30)/L29</f>
        <v>0.3592105263157895</v>
      </c>
      <c r="M34" s="19"/>
      <c r="N34" s="5"/>
    </row>
    <row r="35" spans="5:14" ht="15">
      <c r="E35" s="27"/>
      <c r="F35" s="27"/>
      <c r="G35" s="27"/>
      <c r="J35" s="3"/>
      <c r="K35" s="3"/>
      <c r="L35" s="3"/>
      <c r="M35" s="3"/>
      <c r="N35" s="3"/>
    </row>
    <row r="36" spans="5:7" ht="12.75">
      <c r="E36" s="27"/>
      <c r="F36" s="27"/>
      <c r="G36" s="27"/>
    </row>
    <row r="37" spans="5:7" ht="12.75">
      <c r="E37" s="27"/>
      <c r="F37" s="27"/>
      <c r="G37" s="27"/>
    </row>
    <row r="38" spans="5:7" ht="12.75">
      <c r="E38" s="27"/>
      <c r="F38" s="27"/>
      <c r="G38" s="27"/>
    </row>
  </sheetData>
  <mergeCells count="5">
    <mergeCell ref="K27:M27"/>
    <mergeCell ref="A4:C4"/>
    <mergeCell ref="D4:F4"/>
    <mergeCell ref="G4:I4"/>
    <mergeCell ref="J4:L4"/>
  </mergeCells>
  <printOptions/>
  <pageMargins left="0.75" right="0.75" top="1" bottom="1" header="0.4921259845" footer="0.4921259845"/>
  <pageSetup fitToHeight="1" fitToWidth="1" horizontalDpi="600" verticalDpi="600" orientation="landscape" scale="62" r:id="rId2"/>
  <headerFooter alignWithMargins="0">
    <oddFooter>&amp;LFichier :&amp;F
Onglet : &amp;A&amp;CMine-Laboratoire
Val d'Or&amp;R&amp;D
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NRCan/RNCan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rolacroi</dc:creator>
  <cp:keywords/>
  <dc:description/>
  <cp:lastModifiedBy>HHAWKINS</cp:lastModifiedBy>
  <cp:lastPrinted>2001-11-21T16:12:09Z</cp:lastPrinted>
  <dcterms:created xsi:type="dcterms:W3CDTF">2000-06-08T12:17:33Z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