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305" windowHeight="6615" tabRatio="599" activeTab="0"/>
  </bookViews>
  <sheets>
    <sheet name="Chargeuse et camion" sheetId="1" r:id="rId1"/>
    <sheet name="Référence" sheetId="2" r:id="rId2"/>
  </sheets>
  <definedNames>
    <definedName name="_xlnm.Print_Area" localSheetId="0">'Chargeuse et camion'!$A$1:$L$126</definedName>
  </definedNames>
  <calcPr fullCalcOnLoad="1"/>
</workbook>
</file>

<file path=xl/comments1.xml><?xml version="1.0" encoding="utf-8"?>
<comments xmlns="http://schemas.openxmlformats.org/spreadsheetml/2006/main">
  <authors>
    <author>rolacroi</author>
  </authors>
  <commentList>
    <comment ref="I66" authorId="0">
      <text>
        <r>
          <rPr>
            <b/>
            <sz val="10"/>
            <rFont val="Tahoma"/>
            <family val="2"/>
          </rPr>
          <t>Voir l'onglet "Référence" pour comparer les temps de cycle</t>
        </r>
      </text>
    </comment>
  </commentList>
</comments>
</file>

<file path=xl/sharedStrings.xml><?xml version="1.0" encoding="utf-8"?>
<sst xmlns="http://schemas.openxmlformats.org/spreadsheetml/2006/main" count="208" uniqueCount="132">
  <si>
    <t>kg</t>
  </si>
  <si>
    <t>m³</t>
  </si>
  <si>
    <t>vg³</t>
  </si>
  <si>
    <t>kg/m³</t>
  </si>
  <si>
    <t xml:space="preserve"> m³</t>
  </si>
  <si>
    <t>m³  =&gt;</t>
  </si>
  <si>
    <t>vg³  =&gt;</t>
  </si>
  <si>
    <t xml:space="preserve"> 100% = excellent,  95% = moyen,  90% = difficile</t>
  </si>
  <si>
    <t xml:space="preserve"> Segment 1</t>
  </si>
  <si>
    <t xml:space="preserve"> Segment 2</t>
  </si>
  <si>
    <t xml:space="preserve"> Segment 3</t>
  </si>
  <si>
    <t xml:space="preserve"> Segment 4</t>
  </si>
  <si>
    <t xml:space="preserve"> Segment 5</t>
  </si>
  <si>
    <t xml:space="preserve"> Segment 6</t>
  </si>
  <si>
    <t xml:space="preserve"> Segment 7</t>
  </si>
  <si>
    <t>m</t>
  </si>
  <si>
    <t>(minutes)</t>
  </si>
  <si>
    <t>min</t>
  </si>
  <si>
    <t>Tonnnage moyen par avance</t>
  </si>
  <si>
    <t xml:space="preserve">ou </t>
  </si>
  <si>
    <t xml:space="preserve"> =</t>
  </si>
  <si>
    <t>mètres</t>
  </si>
  <si>
    <t>pieds</t>
  </si>
  <si>
    <t>excellentes</t>
  </si>
  <si>
    <t>moyennes</t>
  </si>
  <si>
    <t>sévères</t>
  </si>
  <si>
    <t>montant</t>
  </si>
  <si>
    <t>descendant</t>
  </si>
  <si>
    <t>MT-413</t>
  </si>
  <si>
    <t>MT-416</t>
  </si>
  <si>
    <t>MT-420</t>
  </si>
  <si>
    <t>MT-422</t>
  </si>
  <si>
    <t>MT-426</t>
  </si>
  <si>
    <t>MT-433</t>
  </si>
  <si>
    <t>MT-439</t>
  </si>
  <si>
    <t>MT-F28</t>
  </si>
  <si>
    <t>Camions</t>
  </si>
  <si>
    <t xml:space="preserve">Capacité </t>
  </si>
  <si>
    <t xml:space="preserve">CAMION </t>
  </si>
  <si>
    <t>Nombre de godets par camion</t>
  </si>
  <si>
    <t>x</t>
  </si>
  <si>
    <t>Temps requis par godet</t>
  </si>
  <si>
    <t xml:space="preserve">du lieu de chargement (chargement par le côté ou par l'arrière du camion) et le camion. En général, </t>
  </si>
  <si>
    <t>CAPACITÉ DE TRANSPORT EN FONÇAGE DE RAMPE ET DE GALERIE</t>
  </si>
  <si>
    <t>SELON LE CHOIX DE CHARGEUSE-NAVETTE ET DE CAMION</t>
  </si>
  <si>
    <t>Capacité de transport du camion</t>
  </si>
  <si>
    <t>Densité du matériel en vrac</t>
  </si>
  <si>
    <t>Facteur de remplissage du camion</t>
  </si>
  <si>
    <t>Capacité de la benne semi-comble</t>
  </si>
  <si>
    <t>lb</t>
  </si>
  <si>
    <t>lb/vg³</t>
  </si>
  <si>
    <t xml:space="preserve">Facteur de remplissage du godet </t>
  </si>
  <si>
    <t>1.0 -  Capacité de transport selon le type de matériel et de camion</t>
  </si>
  <si>
    <t>Capacité</t>
  </si>
  <si>
    <t>Charge transportée</t>
  </si>
  <si>
    <t>Augmentation minimale de la capacité des bennes par le manufacturier</t>
  </si>
  <si>
    <t>Donc, votre choix de benne de camion est :</t>
  </si>
  <si>
    <t>Capacité de transport par camion</t>
  </si>
  <si>
    <t>tm</t>
  </si>
  <si>
    <t>tonnes courtes</t>
  </si>
  <si>
    <t>2.0 - Sélection de chargeuse-navette selon le temps de chargement du camion</t>
  </si>
  <si>
    <t>Votre choix de godet est :</t>
  </si>
  <si>
    <t>Capacité du godet</t>
  </si>
  <si>
    <t>Distance totale parcourue</t>
  </si>
  <si>
    <t>min/godet</t>
  </si>
  <si>
    <t>Temps total par godet</t>
  </si>
  <si>
    <t>Temps de transport</t>
  </si>
  <si>
    <t>Temps de chargement</t>
  </si>
  <si>
    <t>Temps de déchargement dans le camion</t>
  </si>
  <si>
    <t>min/camion</t>
  </si>
  <si>
    <t>Temps de mise en position du camion pour le chargement</t>
  </si>
  <si>
    <t>Longueur</t>
  </si>
  <si>
    <t>(m)</t>
  </si>
  <si>
    <t>Pente (%)</t>
  </si>
  <si>
    <t>Aller</t>
  </si>
  <si>
    <t>Retour</t>
  </si>
  <si>
    <t>Vitesse (km/h)</t>
  </si>
  <si>
    <t>Temps</t>
  </si>
  <si>
    <t xml:space="preserve">Temps total de chargement par camion     </t>
  </si>
  <si>
    <t>Temps de déchargement</t>
  </si>
  <si>
    <t>Temps total par cycle</t>
  </si>
  <si>
    <t>tonnes métriques</t>
  </si>
  <si>
    <t xml:space="preserve">Nombre de cycles possibles avec un camion </t>
  </si>
  <si>
    <t>Nombre de camions requis</t>
  </si>
  <si>
    <t>CHARGEUSE-NAVETTE</t>
  </si>
  <si>
    <t>Vérification de la capacité de transport selon le type de benne et la densité du matériel à transporter</t>
  </si>
  <si>
    <t>la chargeuse-navette idéale permet de remplir la benne du camion avec trois godets.</t>
  </si>
  <si>
    <t>minutes</t>
  </si>
  <si>
    <t>heures</t>
  </si>
  <si>
    <t>camions requis</t>
  </si>
  <si>
    <t>2 - Utilisation des camions</t>
  </si>
  <si>
    <t xml:space="preserve">Donc, le système inclut : </t>
  </si>
  <si>
    <t>Vitesse maximale en montant et vitesse estimée sécuritaire en descendant</t>
  </si>
  <si>
    <t>Plat</t>
  </si>
  <si>
    <t>Calcul de la capacité maximale de la benne selon le type de matériel et de camion</t>
  </si>
  <si>
    <t xml:space="preserve">Format idéal de la benne selon le manufacturier  </t>
  </si>
  <si>
    <t>Généralement, le camion est l'équipement le plus gros qui circule dans la rampe. Donc, les dimensions</t>
  </si>
  <si>
    <t>de la galerie sont déterminées par le type de camion.</t>
  </si>
  <si>
    <t xml:space="preserve">Le choix de chargeuse-navette est influencé principalement par les dimensions de la galerie, la configuration </t>
  </si>
  <si>
    <t>godets/camion</t>
  </si>
  <si>
    <t xml:space="preserve">Temps requis pour déblayer la face avec un camion  </t>
  </si>
  <si>
    <t xml:space="preserve">Nombre de chargements par avance    </t>
  </si>
  <si>
    <t>Temps maximal alloué pour déblayer la face</t>
  </si>
  <si>
    <t>1 - Temps total d'attente de la chargeuse-navette</t>
  </si>
  <si>
    <t>La chargeuse-navette est utlisée à :</t>
  </si>
  <si>
    <t>Les camions sont utilisés à :</t>
  </si>
  <si>
    <t>3.0 - Calcul du temps de cycle par camion</t>
  </si>
  <si>
    <t>chargements</t>
  </si>
  <si>
    <t>Capacité maximale de la chargeuse-navette durant le temps de cycle  =&gt;</t>
  </si>
  <si>
    <t>cycles possibles du premier camion selon le temps alloué</t>
  </si>
  <si>
    <t>Vérification du système chargeuse-camion</t>
  </si>
  <si>
    <t>Chargé</t>
  </si>
  <si>
    <t>Vide</t>
  </si>
  <si>
    <t>Tonnes</t>
  </si>
  <si>
    <t>Tonnes métriques</t>
  </si>
  <si>
    <t>4.0 - Calcul du temps requis pour déblayer une face avec un camion</t>
  </si>
  <si>
    <t>5.0 - Calcul du nombre de camions en fonction du temps alloué avec une chargeuse-navette</t>
  </si>
  <si>
    <t>en fonction de la distance et des conditions de travail</t>
  </si>
  <si>
    <t>Distance</t>
  </si>
  <si>
    <t>Temps de cycle (min)</t>
  </si>
  <si>
    <t>selon des conditions</t>
  </si>
  <si>
    <t>Capacité nominale du godet</t>
  </si>
  <si>
    <t>Temps de chargement par camion</t>
  </si>
  <si>
    <t>VITESSE (KM/H)</t>
  </si>
  <si>
    <t>Vitesse</t>
  </si>
  <si>
    <t>maximale</t>
  </si>
  <si>
    <t>Réf : Wagner Equipment Co., Technical Manual Equipment Features and Application Data</t>
  </si>
  <si>
    <t>courtes</t>
  </si>
  <si>
    <t xml:space="preserve">Temps de cycle par godet lors du remplissage d'un camion </t>
  </si>
  <si>
    <t xml:space="preserve">Note : Le temps de cycle à la distance 0 représente les manoeuvres de chargement et de </t>
  </si>
  <si>
    <t xml:space="preserve">   déchargement, ainsi que le retour au point de chargement. </t>
  </si>
  <si>
    <t>Version : 17 janvier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</si>
</sst>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0000"/>
    <numFmt numFmtId="171" formatCode="0.000000000"/>
    <numFmt numFmtId="172" formatCode="0.0000000000"/>
    <numFmt numFmtId="173" formatCode="0.00000000000"/>
  </numFmts>
  <fonts count="20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sz val="9.75"/>
      <name val="Arial"/>
      <family val="0"/>
    </font>
    <font>
      <b/>
      <sz val="10"/>
      <name val="Arial Black"/>
      <family val="2"/>
    </font>
    <font>
      <i/>
      <sz val="10"/>
      <name val="Arial"/>
      <family val="2"/>
    </font>
    <font>
      <b/>
      <sz val="13.25"/>
      <name val="Arial"/>
      <family val="2"/>
    </font>
    <font>
      <b/>
      <sz val="9.75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5" fillId="4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6" fontId="0" fillId="0" borderId="0" xfId="0" applyNumberFormat="1" applyAlignment="1">
      <alignment/>
    </xf>
    <xf numFmtId="166" fontId="0" fillId="3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0" fontId="4" fillId="0" borderId="0" xfId="0" applyFont="1" applyAlignment="1">
      <alignment/>
    </xf>
    <xf numFmtId="9" fontId="0" fillId="3" borderId="1" xfId="19" applyFill="1" applyBorder="1" applyAlignment="1">
      <alignment/>
    </xf>
    <xf numFmtId="9" fontId="0" fillId="2" borderId="1" xfId="19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0" fillId="2" borderId="1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0" fillId="2" borderId="14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15" xfId="0" applyBorder="1" applyAlignment="1">
      <alignment/>
    </xf>
    <xf numFmtId="166" fontId="2" fillId="0" borderId="0" xfId="0" applyNumberFormat="1" applyFont="1" applyAlignment="1">
      <alignment/>
    </xf>
    <xf numFmtId="166" fontId="0" fillId="0" borderId="12" xfId="0" applyNumberFormat="1" applyBorder="1" applyAlignment="1">
      <alignment horizontal="center"/>
    </xf>
    <xf numFmtId="0" fontId="0" fillId="0" borderId="0" xfId="0" applyAlignment="1">
      <alignment horizontal="left" indent="3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66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/>
    </xf>
    <xf numFmtId="166" fontId="15" fillId="0" borderId="20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6" fontId="15" fillId="0" borderId="22" xfId="0" applyNumberFormat="1" applyFont="1" applyBorder="1" applyAlignment="1">
      <alignment horizontal="center"/>
    </xf>
    <xf numFmtId="166" fontId="15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66" fontId="15" fillId="0" borderId="25" xfId="0" applyNumberFormat="1" applyFont="1" applyBorder="1" applyAlignment="1">
      <alignment horizontal="center"/>
    </xf>
    <xf numFmtId="166" fontId="15" fillId="0" borderId="24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12" fillId="0" borderId="3" xfId="0" applyFont="1" applyBorder="1" applyAlignment="1">
      <alignment/>
    </xf>
    <xf numFmtId="0" fontId="0" fillId="0" borderId="2" xfId="0" applyBorder="1" applyAlignment="1">
      <alignment/>
    </xf>
    <xf numFmtId="166" fontId="2" fillId="0" borderId="13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6" fillId="0" borderId="0" xfId="0" applyFont="1" applyAlignment="1">
      <alignment horizontal="left" indent="1"/>
    </xf>
    <xf numFmtId="0" fontId="16" fillId="0" borderId="0" xfId="0" applyFont="1" applyAlignment="1">
      <alignment/>
    </xf>
    <xf numFmtId="1" fontId="0" fillId="2" borderId="1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1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4"/>
    </xf>
    <xf numFmtId="0" fontId="7" fillId="4" borderId="36" xfId="0" applyFont="1" applyFill="1" applyBorder="1" applyAlignment="1">
      <alignment/>
    </xf>
    <xf numFmtId="0" fontId="7" fillId="4" borderId="37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0" fontId="16" fillId="3" borderId="14" xfId="0" applyFont="1" applyFill="1" applyBorder="1" applyAlignment="1">
      <alignment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0" fontId="0" fillId="4" borderId="15" xfId="0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9" fontId="2" fillId="2" borderId="1" xfId="19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3" fillId="2" borderId="14" xfId="0" applyNumberFormat="1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16" fillId="4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6" fillId="4" borderId="9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6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4"/>
    </xf>
    <xf numFmtId="0" fontId="3" fillId="0" borderId="36" xfId="0" applyFont="1" applyBorder="1" applyAlignment="1">
      <alignment horizontal="left"/>
    </xf>
    <xf numFmtId="0" fontId="17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0" fontId="0" fillId="0" borderId="39" xfId="0" applyBorder="1" applyAlignment="1">
      <alignment/>
    </xf>
    <xf numFmtId="0" fontId="16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12" fillId="0" borderId="0" xfId="0" applyFont="1" applyAlignment="1">
      <alignment horizontal="left" indent="2"/>
    </xf>
    <xf numFmtId="166" fontId="0" fillId="2" borderId="1" xfId="0" applyNumberForma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4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Temps de cycle vs distance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71"/>
          <c:w val="0.90025"/>
          <c:h val="0.7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Référence!$C$6</c:f>
              <c:strCache>
                <c:ptCount val="1"/>
                <c:pt idx="0">
                  <c:v>excellentes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Référence!$B$7:$B$13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Référence!$C$7:$C$13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Référence!$D$6</c:f>
              <c:strCache>
                <c:ptCount val="1"/>
                <c:pt idx="0">
                  <c:v>moyennes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Référence!$B$7:$B$13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Référence!$D$7:$D$13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Référence!$E$6</c:f>
              <c:strCache>
                <c:ptCount val="1"/>
                <c:pt idx="0">
                  <c:v>sévères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Référence!$B$7:$B$13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Référence!$E$7:$E$13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4265710"/>
        <c:axId val="39955935"/>
      </c:scatterChart>
      <c:scatterChart>
        <c:scatterStyle val="lineMarker"/>
        <c:varyColors val="0"/>
        <c:ser>
          <c:idx val="3"/>
          <c:order val="3"/>
          <c:tx>
            <c:strRef>
              <c:f>Référence!$C$6</c:f>
              <c:strCache>
                <c:ptCount val="1"/>
                <c:pt idx="0">
                  <c:v>excellentes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excellentes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dLblPos val="b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Référence!$A$7:$A$13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Référence!$C$7:$C$13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Référence!$D$6</c:f>
              <c:strCache>
                <c:ptCount val="1"/>
                <c:pt idx="0">
                  <c:v>moyennes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moyennes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Référence!$A$7:$A$13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Référence!$D$7:$D$13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Référence!$E$6</c:f>
              <c:strCache>
                <c:ptCount val="1"/>
                <c:pt idx="0">
                  <c:v>sévères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sévères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Référence!$A$7:$A$13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Référence!$E$7:$E$13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4059096"/>
        <c:axId val="15205273"/>
      </c:scatterChart>
      <c:valAx>
        <c:axId val="3426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pieds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39955935"/>
        <c:crosses val="autoZero"/>
        <c:crossBetween val="midCat"/>
        <c:dispUnits/>
        <c:majorUnit val="50"/>
        <c:minorUnit val="25"/>
      </c:valAx>
      <c:valAx>
        <c:axId val="3995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temps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crossAx val="34265710"/>
        <c:crosses val="autoZero"/>
        <c:crossBetween val="midCat"/>
        <c:dispUnits/>
        <c:majorUnit val="0.25"/>
      </c:valAx>
      <c:valAx>
        <c:axId val="24059096"/>
        <c:scaling>
          <c:orientation val="minMax"/>
          <c:max val="107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mètres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15205273"/>
        <c:crosses val="max"/>
        <c:crossBetween val="midCat"/>
        <c:dispUnits/>
        <c:majorUnit val="10"/>
        <c:minorUnit val="5"/>
      </c:valAx>
      <c:valAx>
        <c:axId val="15205273"/>
        <c:scaling>
          <c:orientation val="minMax"/>
        </c:scaling>
        <c:axPos val="l"/>
        <c:delete val="1"/>
        <c:majorTickMark val="in"/>
        <c:minorTickMark val="none"/>
        <c:tickLblPos val="nextTo"/>
        <c:crossAx val="2405909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18</xdr:row>
      <xdr:rowOff>104775</xdr:rowOff>
    </xdr:from>
    <xdr:to>
      <xdr:col>5</xdr:col>
      <xdr:colOff>523875</xdr:colOff>
      <xdr:row>18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3486150" y="3257550"/>
          <a:ext cx="4381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104775</xdr:rowOff>
    </xdr:from>
    <xdr:to>
      <xdr:col>4</xdr:col>
      <xdr:colOff>590550</xdr:colOff>
      <xdr:row>27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3124200" y="4724400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27</xdr:row>
      <xdr:rowOff>104775</xdr:rowOff>
    </xdr:from>
    <xdr:to>
      <xdr:col>4</xdr:col>
      <xdr:colOff>600075</xdr:colOff>
      <xdr:row>28</xdr:row>
      <xdr:rowOff>161925</xdr:rowOff>
    </xdr:to>
    <xdr:sp>
      <xdr:nvSpPr>
        <xdr:cNvPr id="3" name="Line 6"/>
        <xdr:cNvSpPr>
          <a:spLocks/>
        </xdr:cNvSpPr>
      </xdr:nvSpPr>
      <xdr:spPr>
        <a:xfrm>
          <a:off x="3114675" y="4724400"/>
          <a:ext cx="200025" cy="2190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44</xdr:row>
      <xdr:rowOff>104775</xdr:rowOff>
    </xdr:from>
    <xdr:to>
      <xdr:col>4</xdr:col>
      <xdr:colOff>590550</xdr:colOff>
      <xdr:row>44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3124200" y="7677150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44</xdr:row>
      <xdr:rowOff>104775</xdr:rowOff>
    </xdr:from>
    <xdr:to>
      <xdr:col>4</xdr:col>
      <xdr:colOff>600075</xdr:colOff>
      <xdr:row>46</xdr:row>
      <xdr:rowOff>9525</xdr:rowOff>
    </xdr:to>
    <xdr:sp>
      <xdr:nvSpPr>
        <xdr:cNvPr id="5" name="Line 48"/>
        <xdr:cNvSpPr>
          <a:spLocks/>
        </xdr:cNvSpPr>
      </xdr:nvSpPr>
      <xdr:spPr>
        <a:xfrm>
          <a:off x="3114675" y="7677150"/>
          <a:ext cx="200025" cy="27622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48</xdr:row>
      <xdr:rowOff>85725</xdr:rowOff>
    </xdr:from>
    <xdr:to>
      <xdr:col>6</xdr:col>
      <xdr:colOff>409575</xdr:colOff>
      <xdr:row>48</xdr:row>
      <xdr:rowOff>85725</xdr:rowOff>
    </xdr:to>
    <xdr:sp>
      <xdr:nvSpPr>
        <xdr:cNvPr id="6" name="Line 79"/>
        <xdr:cNvSpPr>
          <a:spLocks/>
        </xdr:cNvSpPr>
      </xdr:nvSpPr>
      <xdr:spPr>
        <a:xfrm>
          <a:off x="4343400" y="8353425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93</xdr:row>
      <xdr:rowOff>85725</xdr:rowOff>
    </xdr:from>
    <xdr:to>
      <xdr:col>6</xdr:col>
      <xdr:colOff>409575</xdr:colOff>
      <xdr:row>93</xdr:row>
      <xdr:rowOff>85725</xdr:rowOff>
    </xdr:to>
    <xdr:sp>
      <xdr:nvSpPr>
        <xdr:cNvPr id="7" name="Line 81"/>
        <xdr:cNvSpPr>
          <a:spLocks/>
        </xdr:cNvSpPr>
      </xdr:nvSpPr>
      <xdr:spPr>
        <a:xfrm>
          <a:off x="4343400" y="16059150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105</xdr:row>
      <xdr:rowOff>76200</xdr:rowOff>
    </xdr:from>
    <xdr:to>
      <xdr:col>6</xdr:col>
      <xdr:colOff>390525</xdr:colOff>
      <xdr:row>105</xdr:row>
      <xdr:rowOff>76200</xdr:rowOff>
    </xdr:to>
    <xdr:sp>
      <xdr:nvSpPr>
        <xdr:cNvPr id="8" name="Line 83"/>
        <xdr:cNvSpPr>
          <a:spLocks/>
        </xdr:cNvSpPr>
      </xdr:nvSpPr>
      <xdr:spPr>
        <a:xfrm>
          <a:off x="4324350" y="18107025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104</xdr:row>
      <xdr:rowOff>76200</xdr:rowOff>
    </xdr:from>
    <xdr:to>
      <xdr:col>6</xdr:col>
      <xdr:colOff>390525</xdr:colOff>
      <xdr:row>104</xdr:row>
      <xdr:rowOff>76200</xdr:rowOff>
    </xdr:to>
    <xdr:sp>
      <xdr:nvSpPr>
        <xdr:cNvPr id="9" name="Line 84"/>
        <xdr:cNvSpPr>
          <a:spLocks/>
        </xdr:cNvSpPr>
      </xdr:nvSpPr>
      <xdr:spPr>
        <a:xfrm>
          <a:off x="4324350" y="17945100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100</xdr:row>
      <xdr:rowOff>114300</xdr:rowOff>
    </xdr:from>
    <xdr:to>
      <xdr:col>6</xdr:col>
      <xdr:colOff>371475</xdr:colOff>
      <xdr:row>100</xdr:row>
      <xdr:rowOff>114300</xdr:rowOff>
    </xdr:to>
    <xdr:sp>
      <xdr:nvSpPr>
        <xdr:cNvPr id="10" name="Line 97"/>
        <xdr:cNvSpPr>
          <a:spLocks/>
        </xdr:cNvSpPr>
      </xdr:nvSpPr>
      <xdr:spPr>
        <a:xfrm>
          <a:off x="4305300" y="17297400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73</xdr:row>
      <xdr:rowOff>0</xdr:rowOff>
    </xdr:from>
    <xdr:to>
      <xdr:col>11</xdr:col>
      <xdr:colOff>628650</xdr:colOff>
      <xdr:row>76</xdr:row>
      <xdr:rowOff>66675</xdr:rowOff>
    </xdr:to>
    <xdr:sp>
      <xdr:nvSpPr>
        <xdr:cNvPr id="11" name="TextBox 110"/>
        <xdr:cNvSpPr txBox="1">
          <a:spLocks noChangeArrowheads="1"/>
        </xdr:cNvSpPr>
      </xdr:nvSpPr>
      <xdr:spPr>
        <a:xfrm>
          <a:off x="4972050" y="12592050"/>
          <a:ext cx="3409950" cy="552450"/>
        </a:xfrm>
        <a:prstGeom prst="rect">
          <a:avLst/>
        </a:prstGeom>
        <a:solidFill>
          <a:srgbClr val="00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Il est important de prendre en considération les courbes de performance du camion sélectionné en fonction de vos conditions de travail</a:t>
          </a:r>
        </a:p>
      </xdr:txBody>
    </xdr:sp>
    <xdr:clientData/>
  </xdr:twoCellAnchor>
  <xdr:twoCellAnchor>
    <xdr:from>
      <xdr:col>7</xdr:col>
      <xdr:colOff>66675</xdr:colOff>
      <xdr:row>55</xdr:row>
      <xdr:rowOff>9525</xdr:rowOff>
    </xdr:from>
    <xdr:to>
      <xdr:col>11</xdr:col>
      <xdr:colOff>790575</xdr:colOff>
      <xdr:row>58</xdr:row>
      <xdr:rowOff>76200</xdr:rowOff>
    </xdr:to>
    <xdr:sp>
      <xdr:nvSpPr>
        <xdr:cNvPr id="12" name="TextBox 112"/>
        <xdr:cNvSpPr txBox="1">
          <a:spLocks noChangeArrowheads="1"/>
        </xdr:cNvSpPr>
      </xdr:nvSpPr>
      <xdr:spPr>
        <a:xfrm>
          <a:off x="4848225" y="9486900"/>
          <a:ext cx="3695700" cy="552450"/>
        </a:xfrm>
        <a:prstGeom prst="rect">
          <a:avLst/>
        </a:prstGeom>
        <a:solidFill>
          <a:srgbClr val="00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Il est important de prendre en considération les courbes de performance de la chargeuse-navette sélectionnée en fonction de vos conditions de travail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5</xdr:col>
      <xdr:colOff>733425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2400300"/>
        <a:ext cx="45434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7"/>
  <sheetViews>
    <sheetView tabSelected="1" zoomScale="75" zoomScaleNormal="75" workbookViewId="0" topLeftCell="A1">
      <selection activeCell="J5" sqref="J5"/>
    </sheetView>
  </sheetViews>
  <sheetFormatPr defaultColWidth="9.140625" defaultRowHeight="12.75"/>
  <cols>
    <col min="1" max="1" width="11.00390625" style="0" customWidth="1"/>
    <col min="2" max="2" width="10.140625" style="0" customWidth="1"/>
    <col min="3" max="3" width="9.28125" style="0" customWidth="1"/>
    <col min="4" max="5" width="10.28125" style="0" customWidth="1"/>
    <col min="6" max="6" width="10.7109375" style="0" customWidth="1"/>
    <col min="7" max="7" width="10.00390625" style="0" customWidth="1"/>
    <col min="8" max="8" width="10.421875" style="0" customWidth="1"/>
    <col min="9" max="9" width="10.28125" style="0" customWidth="1"/>
    <col min="10" max="10" width="10.8515625" style="0" customWidth="1"/>
    <col min="11" max="11" width="13.00390625" style="0" customWidth="1"/>
    <col min="12" max="12" width="13.28125" style="0" customWidth="1"/>
    <col min="16" max="16" width="10.7109375" style="0" customWidth="1"/>
    <col min="17" max="17" width="10.00390625" style="0" customWidth="1"/>
    <col min="18" max="18" width="11.00390625" style="0" customWidth="1"/>
    <col min="19" max="19" width="8.421875" style="0" customWidth="1"/>
    <col min="20" max="20" width="10.421875" style="0" customWidth="1"/>
    <col min="22" max="22" width="12.57421875" style="0" customWidth="1"/>
    <col min="23" max="23" width="9.8515625" style="0" customWidth="1"/>
    <col min="24" max="24" width="10.421875" style="0" customWidth="1"/>
    <col min="26" max="26" width="10.8515625" style="0" customWidth="1"/>
  </cols>
  <sheetData>
    <row r="2" ht="18">
      <c r="A2" s="1" t="s">
        <v>43</v>
      </c>
    </row>
    <row r="3" ht="18">
      <c r="A3" s="1" t="s">
        <v>44</v>
      </c>
    </row>
    <row r="4" spans="1:10" ht="18">
      <c r="A4" s="1"/>
      <c r="H4" s="14"/>
      <c r="J4" t="s">
        <v>131</v>
      </c>
    </row>
    <row r="5" ht="12.75">
      <c r="A5" s="10" t="s">
        <v>38</v>
      </c>
    </row>
    <row r="6" spans="1:7" ht="12.75">
      <c r="A6" s="39" t="s">
        <v>45</v>
      </c>
      <c r="D6" s="9">
        <v>22000</v>
      </c>
      <c r="E6" t="s">
        <v>0</v>
      </c>
      <c r="F6" s="8">
        <f>ROUND(+D6*2.205,-1)</f>
        <v>48510</v>
      </c>
      <c r="G6" t="s">
        <v>49</v>
      </c>
    </row>
    <row r="7" spans="1:7" ht="12.75">
      <c r="A7" s="39" t="s">
        <v>46</v>
      </c>
      <c r="D7" s="9">
        <v>2040</v>
      </c>
      <c r="E7" t="s">
        <v>3</v>
      </c>
      <c r="F7" s="8">
        <f>ROUND(+D7*2.205*0.7645,-1)</f>
        <v>3440</v>
      </c>
      <c r="G7" t="s">
        <v>50</v>
      </c>
    </row>
    <row r="8" spans="1:12" ht="12.75">
      <c r="A8" s="39" t="s">
        <v>47</v>
      </c>
      <c r="D8" s="27">
        <v>0.95</v>
      </c>
      <c r="H8" s="102"/>
      <c r="I8" s="102"/>
      <c r="J8" s="101" t="s">
        <v>7</v>
      </c>
      <c r="K8" s="101"/>
      <c r="L8" s="101"/>
    </row>
    <row r="9" spans="1:7" ht="12.75">
      <c r="A9" s="39" t="s">
        <v>48</v>
      </c>
      <c r="D9" s="9">
        <v>10</v>
      </c>
      <c r="E9" t="s">
        <v>1</v>
      </c>
      <c r="F9" s="3">
        <f>ROUND(D9/0.7645,3)</f>
        <v>13.08</v>
      </c>
      <c r="G9" t="s">
        <v>2</v>
      </c>
    </row>
    <row r="10" ht="12.75">
      <c r="A10" s="39"/>
    </row>
    <row r="11" ht="12.75">
      <c r="A11" s="10" t="s">
        <v>84</v>
      </c>
    </row>
    <row r="12" spans="1:12" ht="12.75">
      <c r="A12" s="39" t="s">
        <v>51</v>
      </c>
      <c r="D12" s="27">
        <v>0.9</v>
      </c>
      <c r="H12" s="102"/>
      <c r="I12" s="102"/>
      <c r="J12" s="101" t="s">
        <v>7</v>
      </c>
      <c r="K12" s="101"/>
      <c r="L12" s="101"/>
    </row>
    <row r="13" spans="1:7" ht="12.75">
      <c r="A13" s="39" t="s">
        <v>121</v>
      </c>
      <c r="D13" s="9">
        <v>3.82</v>
      </c>
      <c r="E13" t="s">
        <v>1</v>
      </c>
      <c r="F13" s="3">
        <f>ROUND(D13/0.7645,3)</f>
        <v>4.997</v>
      </c>
      <c r="G13" t="s">
        <v>2</v>
      </c>
    </row>
    <row r="14" ht="12.75">
      <c r="A14" s="39"/>
    </row>
    <row r="15" ht="15.75">
      <c r="A15" s="26" t="s">
        <v>52</v>
      </c>
    </row>
    <row r="17" ht="12.75">
      <c r="A17" s="39" t="s">
        <v>85</v>
      </c>
    </row>
    <row r="18" spans="3:5" ht="12.75">
      <c r="C18" s="38" t="s">
        <v>53</v>
      </c>
      <c r="E18" s="38" t="s">
        <v>54</v>
      </c>
    </row>
    <row r="19" spans="3:9" ht="18">
      <c r="C19" s="8">
        <f>+D6</f>
        <v>22000</v>
      </c>
      <c r="D19" s="36" t="str">
        <f>IF(E19&lt;C19," &gt; "," &lt; ")</f>
        <v> &gt; </v>
      </c>
      <c r="E19" s="35">
        <f>+D7*D8*D9</f>
        <v>19380</v>
      </c>
      <c r="G19" s="7" t="str">
        <f>IF(E19&lt;C19," Bon choix de benne","La benne est trop grande")</f>
        <v> Bon choix de benne</v>
      </c>
      <c r="H19" s="104"/>
      <c r="I19" s="6"/>
    </row>
    <row r="20" ht="8.25" customHeight="1"/>
    <row r="21" ht="12.75">
      <c r="B21" t="s">
        <v>94</v>
      </c>
    </row>
    <row r="22" spans="2:5" ht="12.75">
      <c r="B22" s="3">
        <f>+D6/D7/D12</f>
        <v>11.982570806100219</v>
      </c>
      <c r="C22" t="s">
        <v>4</v>
      </c>
      <c r="D22" s="3">
        <f>+B22/0.7645</f>
        <v>15.673735521386813</v>
      </c>
      <c r="E22" t="s">
        <v>2</v>
      </c>
    </row>
    <row r="23" ht="12.75">
      <c r="B23" t="s">
        <v>55</v>
      </c>
    </row>
    <row r="24" spans="1:5" ht="12.75">
      <c r="A24" s="23"/>
      <c r="B24" s="4">
        <v>0.5</v>
      </c>
      <c r="C24" t="s">
        <v>1</v>
      </c>
      <c r="D24" s="3">
        <f>ROUND(+B24/0.7645,2)</f>
        <v>0.65</v>
      </c>
      <c r="E24" t="s">
        <v>2</v>
      </c>
    </row>
    <row r="26" spans="1:9" ht="12.75">
      <c r="A26" s="39" t="s">
        <v>95</v>
      </c>
      <c r="F26" s="5">
        <f>ROUNDDOWN((B22/B24),0)*B24</f>
        <v>11.5</v>
      </c>
      <c r="G26" t="s">
        <v>1</v>
      </c>
      <c r="H26" s="103">
        <f>ROUNDDOWN((D22/D24),0)*D24</f>
        <v>15.600000000000001</v>
      </c>
      <c r="I26" t="s">
        <v>2</v>
      </c>
    </row>
    <row r="28" spans="1:9" ht="12.75">
      <c r="A28" s="83" t="s">
        <v>56</v>
      </c>
      <c r="F28" s="25">
        <v>10</v>
      </c>
      <c r="G28" t="s">
        <v>5</v>
      </c>
      <c r="H28" s="3">
        <f>ROUND(+F28/0.7645,2)</f>
        <v>13.08</v>
      </c>
      <c r="I28" t="s">
        <v>2</v>
      </c>
    </row>
    <row r="29" spans="1:4" ht="15" customHeight="1">
      <c r="A29" s="137">
        <f>IF(F28&gt;0,IF(F30&gt;0," Choisissez une des deux options, métrique ou impériale",""),"")</f>
      </c>
      <c r="B29" s="137"/>
      <c r="C29" s="137"/>
      <c r="D29" s="137"/>
    </row>
    <row r="30" spans="1:9" ht="12.75">
      <c r="A30" s="137"/>
      <c r="B30" s="137"/>
      <c r="C30" s="137"/>
      <c r="D30" s="137"/>
      <c r="F30" s="4"/>
      <c r="G30" t="s">
        <v>6</v>
      </c>
      <c r="H30" s="5">
        <f>ROUND(+F30*0.7645,23)</f>
        <v>0</v>
      </c>
      <c r="I30" t="s">
        <v>1</v>
      </c>
    </row>
    <row r="31" ht="13.5" thickBot="1"/>
    <row r="32" spans="1:10" ht="12.75">
      <c r="A32" s="11"/>
      <c r="B32" s="12"/>
      <c r="C32" s="12"/>
      <c r="D32" s="12"/>
      <c r="E32" s="12"/>
      <c r="F32" s="12"/>
      <c r="G32" s="12"/>
      <c r="H32" s="12"/>
      <c r="I32" s="12"/>
      <c r="J32" s="13"/>
    </row>
    <row r="33" spans="1:10" ht="12.75">
      <c r="A33" s="18" t="s">
        <v>57</v>
      </c>
      <c r="B33" s="14"/>
      <c r="C33" s="14"/>
      <c r="D33" s="14"/>
      <c r="E33" s="14"/>
      <c r="F33" s="19">
        <f>ROUND(IF(F28&gt;0,F28*D7*D12/1000,F30*F7*D12/2000/1.1023),2)</f>
        <v>18.36</v>
      </c>
      <c r="G33" s="21" t="s">
        <v>58</v>
      </c>
      <c r="H33" s="20">
        <f>ROUND(+F33*1.1023,2)</f>
        <v>20.24</v>
      </c>
      <c r="I33" s="21" t="s">
        <v>59</v>
      </c>
      <c r="J33" s="22"/>
    </row>
    <row r="34" spans="1:10" ht="13.5" thickBot="1">
      <c r="A34" s="15"/>
      <c r="B34" s="16"/>
      <c r="C34" s="16"/>
      <c r="D34" s="16"/>
      <c r="E34" s="16"/>
      <c r="F34" s="16"/>
      <c r="G34" s="16"/>
      <c r="H34" s="16"/>
      <c r="I34" s="16"/>
      <c r="J34" s="17"/>
    </row>
    <row r="37" ht="15.75">
      <c r="A37" s="26" t="s">
        <v>60</v>
      </c>
    </row>
    <row r="39" ht="14.25">
      <c r="A39" s="118" t="s">
        <v>96</v>
      </c>
    </row>
    <row r="40" ht="14.25">
      <c r="A40" s="118" t="s">
        <v>97</v>
      </c>
    </row>
    <row r="41" ht="14.25">
      <c r="A41" s="118" t="s">
        <v>98</v>
      </c>
    </row>
    <row r="42" ht="14.25">
      <c r="A42" s="118" t="s">
        <v>42</v>
      </c>
    </row>
    <row r="43" ht="14.25">
      <c r="A43" s="118" t="s">
        <v>86</v>
      </c>
    </row>
    <row r="44" ht="14.25">
      <c r="A44" s="84"/>
    </row>
    <row r="45" spans="1:9" ht="12.75">
      <c r="A45" s="83" t="s">
        <v>61</v>
      </c>
      <c r="F45" s="25">
        <v>3.5</v>
      </c>
      <c r="G45" t="s">
        <v>5</v>
      </c>
      <c r="H45" s="3">
        <f>ROUND(+F45/0.7645,2)</f>
        <v>4.58</v>
      </c>
      <c r="I45" t="s">
        <v>2</v>
      </c>
    </row>
    <row r="46" spans="1:4" ht="16.5" customHeight="1">
      <c r="A46" s="137">
        <f>IF(F45&gt;0,IF(F47&gt;0," Choisissez une des deux options, métrique ou impériale",""),"")</f>
      </c>
      <c r="B46" s="137"/>
      <c r="C46" s="137"/>
      <c r="D46" s="137"/>
    </row>
    <row r="47" spans="1:9" ht="12.75">
      <c r="A47" s="137"/>
      <c r="B47" s="137"/>
      <c r="C47" s="137"/>
      <c r="D47" s="137"/>
      <c r="F47" s="4"/>
      <c r="G47" t="s">
        <v>6</v>
      </c>
      <c r="H47" s="5">
        <f>ROUND(+F47*0.7645,23)</f>
        <v>0</v>
      </c>
      <c r="I47" t="s">
        <v>1</v>
      </c>
    </row>
    <row r="49" spans="1:9" ht="15">
      <c r="A49" s="32" t="s">
        <v>39</v>
      </c>
      <c r="B49" s="86"/>
      <c r="F49" s="19">
        <f>+F33/F52</f>
        <v>2.855365474339036</v>
      </c>
      <c r="H49" s="124">
        <f>ROUND(F49,0)</f>
        <v>3</v>
      </c>
      <c r="I49" s="10" t="s">
        <v>99</v>
      </c>
    </row>
    <row r="50" ht="12.75" customHeight="1" thickBot="1">
      <c r="A50" s="84"/>
    </row>
    <row r="51" spans="1:10" ht="12.75" customHeight="1">
      <c r="A51" s="11"/>
      <c r="B51" s="12"/>
      <c r="C51" s="12"/>
      <c r="D51" s="12"/>
      <c r="E51" s="12"/>
      <c r="F51" s="12"/>
      <c r="G51" s="12"/>
      <c r="H51" s="12"/>
      <c r="I51" s="12"/>
      <c r="J51" s="13"/>
    </row>
    <row r="52" spans="1:10" ht="12.75" customHeight="1">
      <c r="A52" s="117" t="s">
        <v>62</v>
      </c>
      <c r="B52" s="14"/>
      <c r="C52" s="14"/>
      <c r="D52" s="14"/>
      <c r="E52" s="14"/>
      <c r="F52" s="19">
        <f>ROUND(IF(F45&gt;0,F45*D7*D12/1000,F47*F7*D12/2000/1.1023),2)</f>
        <v>6.43</v>
      </c>
      <c r="G52" s="21" t="s">
        <v>58</v>
      </c>
      <c r="H52" s="20">
        <f>ROUND(+F52*1.1023,2)</f>
        <v>7.09</v>
      </c>
      <c r="I52" s="21" t="s">
        <v>59</v>
      </c>
      <c r="J52" s="22"/>
    </row>
    <row r="53" spans="1:10" ht="12.75" customHeight="1" thickBot="1">
      <c r="A53" s="15"/>
      <c r="B53" s="16"/>
      <c r="C53" s="16"/>
      <c r="D53" s="16"/>
      <c r="E53" s="16"/>
      <c r="F53" s="16"/>
      <c r="G53" s="16"/>
      <c r="H53" s="16"/>
      <c r="I53" s="16"/>
      <c r="J53" s="17"/>
    </row>
    <row r="54" ht="14.25">
      <c r="A54" s="84"/>
    </row>
    <row r="55" ht="15">
      <c r="A55" s="119" t="s">
        <v>41</v>
      </c>
    </row>
    <row r="56" spans="2:7" ht="12.75">
      <c r="B56" s="31" t="s">
        <v>71</v>
      </c>
      <c r="C56" s="138" t="s">
        <v>73</v>
      </c>
      <c r="D56" s="139"/>
      <c r="E56" s="138" t="s">
        <v>76</v>
      </c>
      <c r="F56" s="139"/>
      <c r="G56" s="31" t="s">
        <v>77</v>
      </c>
    </row>
    <row r="57" spans="2:7" ht="12.75">
      <c r="B57" s="30" t="s">
        <v>72</v>
      </c>
      <c r="C57" s="29" t="s">
        <v>74</v>
      </c>
      <c r="D57" s="29" t="s">
        <v>75</v>
      </c>
      <c r="E57" s="29" t="s">
        <v>74</v>
      </c>
      <c r="F57" s="29" t="s">
        <v>75</v>
      </c>
      <c r="G57" s="30" t="s">
        <v>16</v>
      </c>
    </row>
    <row r="58" spans="1:7" ht="12.75">
      <c r="A58" t="s">
        <v>8</v>
      </c>
      <c r="B58" s="9">
        <v>20</v>
      </c>
      <c r="C58" s="27">
        <v>0.1</v>
      </c>
      <c r="D58" s="28">
        <f>-C58</f>
        <v>-0.1</v>
      </c>
      <c r="E58" s="24">
        <v>5</v>
      </c>
      <c r="F58" s="24">
        <v>8</v>
      </c>
      <c r="G58" s="3">
        <f>IF(E58&gt;0,IF(F58&gt;0,(B58/E58+B58/F58)/1000*60,B58/E58/1000*60),B58/F58/1000*60)</f>
        <v>0.38999999999999996</v>
      </c>
    </row>
    <row r="59" spans="1:7" ht="12.75">
      <c r="A59" t="s">
        <v>9</v>
      </c>
      <c r="B59" s="9">
        <v>5</v>
      </c>
      <c r="C59" s="27">
        <v>0.1</v>
      </c>
      <c r="D59" s="28">
        <f>-C59</f>
        <v>-0.1</v>
      </c>
      <c r="E59" s="24">
        <v>3</v>
      </c>
      <c r="F59" s="24">
        <v>3</v>
      </c>
      <c r="G59" s="3">
        <f>IF(E59&gt;0,IF(F59&gt;0,(B59/E59+B59/F59)/1000*60,B59/E59/1000*60),B59/F59/1000*60)</f>
        <v>0.2</v>
      </c>
    </row>
    <row r="60" spans="1:7" ht="12.75">
      <c r="A60" t="s">
        <v>10</v>
      </c>
      <c r="B60" s="9"/>
      <c r="C60" s="27">
        <v>0</v>
      </c>
      <c r="D60" s="28">
        <f>-C60</f>
        <v>0</v>
      </c>
      <c r="E60" s="24">
        <v>9</v>
      </c>
      <c r="F60" s="24">
        <v>9</v>
      </c>
      <c r="G60" s="3">
        <f>IF(E60&gt;0,IF(F60&gt;0,(B60/E60+B60/F60)/1000*60,B60/E60/1000*60),B60/F60/1000*60)</f>
        <v>0</v>
      </c>
    </row>
    <row r="61" spans="1:7" ht="12.75">
      <c r="A61" t="s">
        <v>11</v>
      </c>
      <c r="B61" s="9"/>
      <c r="C61" s="27">
        <v>0.1</v>
      </c>
      <c r="D61" s="28">
        <f>-C61</f>
        <v>-0.1</v>
      </c>
      <c r="E61" s="24">
        <v>8</v>
      </c>
      <c r="F61" s="24">
        <v>5</v>
      </c>
      <c r="G61" s="3">
        <f>IF(E61&gt;0,IF(F61&gt;0,(B61/E61+B61/F61)/1000*60,B61/E61/1000*60),B61/F61/1000*60)</f>
        <v>0</v>
      </c>
    </row>
    <row r="62" spans="4:10" ht="15">
      <c r="D62" s="120" t="s">
        <v>66</v>
      </c>
      <c r="I62" s="105">
        <f>SUM(G58:G61)</f>
        <v>0.59</v>
      </c>
      <c r="J62" t="s">
        <v>17</v>
      </c>
    </row>
    <row r="63" spans="4:10" ht="15">
      <c r="D63" s="120" t="s">
        <v>67</v>
      </c>
      <c r="I63" s="24">
        <v>0.4</v>
      </c>
      <c r="J63" t="s">
        <v>17</v>
      </c>
    </row>
    <row r="64" spans="4:10" ht="15">
      <c r="D64" s="120" t="s">
        <v>68</v>
      </c>
      <c r="I64" s="24">
        <v>1.2</v>
      </c>
      <c r="J64" t="s">
        <v>17</v>
      </c>
    </row>
    <row r="66" spans="1:10" ht="12.75">
      <c r="A66" s="10" t="s">
        <v>63</v>
      </c>
      <c r="B66" s="10"/>
      <c r="D66" s="20">
        <f>SUM(B57:B61)*2</f>
        <v>50</v>
      </c>
      <c r="E66" s="10" t="s">
        <v>15</v>
      </c>
      <c r="H66" s="33" t="s">
        <v>65</v>
      </c>
      <c r="I66" s="105">
        <f>+I64+I63+I62</f>
        <v>2.19</v>
      </c>
      <c r="J66" t="s">
        <v>64</v>
      </c>
    </row>
    <row r="68" spans="1:10" ht="15">
      <c r="A68" s="10" t="s">
        <v>122</v>
      </c>
      <c r="E68" s="85">
        <f>+H49</f>
        <v>3</v>
      </c>
      <c r="F68" s="87" t="s">
        <v>40</v>
      </c>
      <c r="G68" s="129">
        <f>+I66</f>
        <v>2.19</v>
      </c>
      <c r="H68" s="87" t="s">
        <v>20</v>
      </c>
      <c r="I68" s="106">
        <f>+H49*I66</f>
        <v>6.57</v>
      </c>
      <c r="J68" s="10" t="s">
        <v>69</v>
      </c>
    </row>
    <row r="69" spans="1:10" ht="13.5" thickBot="1">
      <c r="A69" s="10" t="s">
        <v>70</v>
      </c>
      <c r="I69" s="109">
        <v>0.4</v>
      </c>
      <c r="J69" s="10" t="s">
        <v>69</v>
      </c>
    </row>
    <row r="70" spans="8:10" ht="15.75" thickBot="1">
      <c r="H70" s="34" t="s">
        <v>78</v>
      </c>
      <c r="I70" s="110">
        <f>+I68+I69</f>
        <v>6.970000000000001</v>
      </c>
      <c r="J70" s="90" t="s">
        <v>69</v>
      </c>
    </row>
    <row r="72" ht="15.75">
      <c r="A72" s="26" t="s">
        <v>106</v>
      </c>
    </row>
    <row r="74" spans="2:7" ht="12.75">
      <c r="B74" s="31" t="s">
        <v>71</v>
      </c>
      <c r="C74" s="138" t="s">
        <v>73</v>
      </c>
      <c r="D74" s="139"/>
      <c r="E74" s="138" t="s">
        <v>76</v>
      </c>
      <c r="F74" s="139"/>
      <c r="G74" s="31" t="s">
        <v>77</v>
      </c>
    </row>
    <row r="75" spans="2:7" ht="12.75">
      <c r="B75" s="30" t="s">
        <v>72</v>
      </c>
      <c r="C75" s="29" t="s">
        <v>74</v>
      </c>
      <c r="D75" s="29" t="s">
        <v>75</v>
      </c>
      <c r="E75" s="29" t="s">
        <v>74</v>
      </c>
      <c r="F75" s="29" t="s">
        <v>75</v>
      </c>
      <c r="G75" s="30" t="s">
        <v>16</v>
      </c>
    </row>
    <row r="76" spans="1:11" ht="12.75">
      <c r="A76" t="s">
        <v>8</v>
      </c>
      <c r="B76" s="9">
        <v>244</v>
      </c>
      <c r="C76" s="27">
        <v>0</v>
      </c>
      <c r="D76" s="28">
        <f>-C76</f>
        <v>0</v>
      </c>
      <c r="E76" s="24">
        <v>16</v>
      </c>
      <c r="F76" s="24">
        <v>16</v>
      </c>
      <c r="G76" s="3">
        <f>IF(E76&gt;0,IF(F76&gt;0,(B76/E76+B76/F76)/1000*60,B76/E76/1000*60),B76/F76/1000*60)</f>
        <v>1.83</v>
      </c>
      <c r="J76" s="2"/>
      <c r="K76" s="2"/>
    </row>
    <row r="77" spans="1:7" ht="12.75">
      <c r="A77" t="s">
        <v>9</v>
      </c>
      <c r="B77" s="9">
        <v>457</v>
      </c>
      <c r="C77" s="27">
        <v>0.1</v>
      </c>
      <c r="D77" s="28">
        <f aca="true" t="shared" si="0" ref="D77:D82">-C77</f>
        <v>-0.1</v>
      </c>
      <c r="E77" s="24">
        <v>7.2</v>
      </c>
      <c r="F77" s="24">
        <v>14.5</v>
      </c>
      <c r="G77" s="3">
        <f aca="true" t="shared" si="1" ref="G77:G82">IF(E77&gt;0,IF(F77&gt;0,(B77/E77+B77/F77)/1000*60,B77/E77/1000*60),B77/F77/1000*60)</f>
        <v>5.6993678160919545</v>
      </c>
    </row>
    <row r="78" spans="1:7" ht="12.75">
      <c r="A78" t="s">
        <v>10</v>
      </c>
      <c r="B78" s="9"/>
      <c r="C78" s="27">
        <v>0</v>
      </c>
      <c r="D78" s="28">
        <f t="shared" si="0"/>
        <v>0</v>
      </c>
      <c r="E78" s="24">
        <v>9</v>
      </c>
      <c r="F78" s="24">
        <v>9</v>
      </c>
      <c r="G78" s="3">
        <f t="shared" si="1"/>
        <v>0</v>
      </c>
    </row>
    <row r="79" spans="1:7" ht="12.75">
      <c r="A79" t="s">
        <v>11</v>
      </c>
      <c r="B79" s="9"/>
      <c r="C79" s="27">
        <v>0.1</v>
      </c>
      <c r="D79" s="28">
        <f t="shared" si="0"/>
        <v>-0.1</v>
      </c>
      <c r="E79" s="24">
        <v>8</v>
      </c>
      <c r="F79" s="24">
        <v>5</v>
      </c>
      <c r="G79" s="3">
        <f t="shared" si="1"/>
        <v>0</v>
      </c>
    </row>
    <row r="80" spans="1:7" ht="12.75">
      <c r="A80" t="s">
        <v>12</v>
      </c>
      <c r="B80" s="9"/>
      <c r="C80" s="27">
        <v>-0.2</v>
      </c>
      <c r="D80" s="28">
        <f t="shared" si="0"/>
        <v>0.2</v>
      </c>
      <c r="E80" s="24">
        <v>7</v>
      </c>
      <c r="F80" s="24">
        <v>5</v>
      </c>
      <c r="G80" s="3">
        <f t="shared" si="1"/>
        <v>0</v>
      </c>
    </row>
    <row r="81" spans="1:7" ht="12.75">
      <c r="A81" t="s">
        <v>13</v>
      </c>
      <c r="B81" s="9"/>
      <c r="C81" s="27">
        <v>0.15</v>
      </c>
      <c r="D81" s="28">
        <f t="shared" si="0"/>
        <v>-0.15</v>
      </c>
      <c r="E81" s="24">
        <v>4.8</v>
      </c>
      <c r="F81" s="24">
        <v>7.5</v>
      </c>
      <c r="G81" s="3">
        <f t="shared" si="1"/>
        <v>0</v>
      </c>
    </row>
    <row r="82" spans="1:7" ht="12.75">
      <c r="A82" t="s">
        <v>14</v>
      </c>
      <c r="B82" s="9"/>
      <c r="C82" s="27">
        <v>0</v>
      </c>
      <c r="D82" s="28">
        <f t="shared" si="0"/>
        <v>0</v>
      </c>
      <c r="E82" s="24">
        <v>9</v>
      </c>
      <c r="F82" s="24">
        <v>9</v>
      </c>
      <c r="G82" s="3">
        <f t="shared" si="1"/>
        <v>0</v>
      </c>
    </row>
    <row r="83" spans="6:10" ht="15">
      <c r="F83" s="92" t="s">
        <v>66</v>
      </c>
      <c r="I83" s="105">
        <f>SUM(G76:G82)</f>
        <v>7.529367816091955</v>
      </c>
      <c r="J83" t="s">
        <v>17</v>
      </c>
    </row>
    <row r="84" spans="6:10" ht="15">
      <c r="F84" s="92" t="s">
        <v>67</v>
      </c>
      <c r="I84" s="105">
        <f>+I70</f>
        <v>6.970000000000001</v>
      </c>
      <c r="J84" t="s">
        <v>17</v>
      </c>
    </row>
    <row r="85" spans="6:10" ht="15">
      <c r="F85" s="92" t="s">
        <v>79</v>
      </c>
      <c r="I85" s="24">
        <v>1.1</v>
      </c>
      <c r="J85" t="s">
        <v>17</v>
      </c>
    </row>
    <row r="87" spans="1:10" ht="12.75">
      <c r="A87" s="10" t="s">
        <v>63</v>
      </c>
      <c r="B87" s="10"/>
      <c r="D87" s="20">
        <f>SUM(B76:B82)*2</f>
        <v>1402</v>
      </c>
      <c r="E87" s="10" t="s">
        <v>15</v>
      </c>
      <c r="H87" s="33" t="s">
        <v>80</v>
      </c>
      <c r="I87" s="105">
        <f>ROUND(+I85+I84+I83,1)</f>
        <v>15.6</v>
      </c>
      <c r="J87" t="s">
        <v>69</v>
      </c>
    </row>
    <row r="88" spans="1:4" ht="12.75">
      <c r="A88" s="10"/>
      <c r="B88" s="10"/>
      <c r="C88" s="10"/>
      <c r="D88" s="10"/>
    </row>
    <row r="90" ht="15.75">
      <c r="A90" s="26" t="s">
        <v>115</v>
      </c>
    </row>
    <row r="91" ht="13.5" thickBot="1"/>
    <row r="92" spans="1:7" ht="13.5" thickBot="1">
      <c r="A92" s="39" t="s">
        <v>18</v>
      </c>
      <c r="D92" s="2"/>
      <c r="F92" s="37">
        <f>4*4*4*2.8</f>
        <v>179.2</v>
      </c>
      <c r="G92" s="10" t="s">
        <v>81</v>
      </c>
    </row>
    <row r="94" spans="1:9" ht="15">
      <c r="A94" s="39" t="s">
        <v>101</v>
      </c>
      <c r="F94" s="106">
        <f>+F92/F33</f>
        <v>9.760348583877995</v>
      </c>
      <c r="H94" s="93">
        <f>ROUND(F94,0)</f>
        <v>10</v>
      </c>
      <c r="I94" s="90" t="s">
        <v>107</v>
      </c>
    </row>
    <row r="96" spans="1:10" ht="12.75">
      <c r="A96" s="39" t="s">
        <v>100</v>
      </c>
      <c r="F96" s="107">
        <f>+H94*I87</f>
        <v>156</v>
      </c>
      <c r="G96" t="s">
        <v>87</v>
      </c>
      <c r="H96" s="2" t="s">
        <v>19</v>
      </c>
      <c r="I96" s="3">
        <f>+F96/60</f>
        <v>2.6</v>
      </c>
      <c r="J96" t="s">
        <v>88</v>
      </c>
    </row>
    <row r="99" ht="15.75">
      <c r="A99" s="26" t="s">
        <v>116</v>
      </c>
    </row>
    <row r="100" ht="13.5" thickBot="1"/>
    <row r="101" spans="1:9" ht="15.75" thickBot="1">
      <c r="A101" s="121" t="s">
        <v>102</v>
      </c>
      <c r="B101" s="99"/>
      <c r="C101" s="99"/>
      <c r="D101" s="99"/>
      <c r="E101" s="99"/>
      <c r="F101" s="100"/>
      <c r="G101" s="84"/>
      <c r="H101" s="98">
        <v>90</v>
      </c>
      <c r="I101" s="84" t="s">
        <v>17</v>
      </c>
    </row>
    <row r="102" ht="12.75">
      <c r="A102" s="43"/>
    </row>
    <row r="103" spans="1:9" ht="12.75">
      <c r="A103" s="91" t="s">
        <v>108</v>
      </c>
      <c r="H103" s="41">
        <f>ROUNDDOWN(+I87/I68,0)</f>
        <v>2</v>
      </c>
      <c r="I103" s="10" t="str">
        <f>CONCATENATE("camions chargés en ",I87," minutes    ")</f>
        <v>camions chargés en 15.6 minutes    </v>
      </c>
    </row>
    <row r="104" ht="12.75">
      <c r="A104" s="43"/>
    </row>
    <row r="105" spans="1:9" ht="12.75">
      <c r="A105" s="43" t="s">
        <v>82</v>
      </c>
      <c r="F105" s="89">
        <f>+H101/I87</f>
        <v>5.769230769230769</v>
      </c>
      <c r="H105" s="88">
        <f>ROUNDDOWN(F105,0)</f>
        <v>5</v>
      </c>
      <c r="I105" t="s">
        <v>109</v>
      </c>
    </row>
    <row r="106" spans="1:9" ht="12.75">
      <c r="A106" s="43" t="s">
        <v>83</v>
      </c>
      <c r="F106" s="89">
        <f>+H94/H105</f>
        <v>2</v>
      </c>
      <c r="H106" s="88">
        <f>ROUNDUP(F106,0)</f>
        <v>2</v>
      </c>
      <c r="I106" t="s">
        <v>89</v>
      </c>
    </row>
    <row r="107" spans="1:5" ht="12.75">
      <c r="A107" s="43"/>
      <c r="E107" s="89"/>
    </row>
    <row r="108" ht="15">
      <c r="A108" s="122" t="s">
        <v>110</v>
      </c>
    </row>
    <row r="109" ht="12.75">
      <c r="A109" s="94" t="s">
        <v>103</v>
      </c>
    </row>
    <row r="110" spans="1:12" ht="12.75">
      <c r="A110" s="94"/>
      <c r="B110" s="123" t="str">
        <f>CONCATENATE(H101," min - (",H94," chargements @ ",I84,"min/chargement) =")</f>
        <v>90 min - (10 chargements @ 6.97min/chargement) =</v>
      </c>
      <c r="G110" s="20">
        <f>H101-(H94*I70)</f>
        <v>20.299999999999997</v>
      </c>
      <c r="H110" s="10" t="s">
        <v>17</v>
      </c>
      <c r="J110" s="33"/>
      <c r="K110" s="113"/>
      <c r="L110" s="10"/>
    </row>
    <row r="111" spans="1:11" ht="15">
      <c r="A111" s="92"/>
      <c r="B111" s="10" t="s">
        <v>104</v>
      </c>
      <c r="G111" s="108">
        <f>+H94*I84/H101</f>
        <v>0.7744444444444445</v>
      </c>
      <c r="K111" s="14"/>
    </row>
    <row r="112" spans="1:11" ht="15.75" thickBot="1">
      <c r="A112" s="92"/>
      <c r="K112" s="14"/>
    </row>
    <row r="113" spans="1:12" ht="15.75" thickBot="1">
      <c r="A113" s="92"/>
      <c r="F113" s="95" t="str">
        <f>IF(G111&gt;1,"AVERTISSEMENT, il est impossible de déblayer la face dans le temps alloué",IF(G111&gt;=0.95,"AVERTISSEMENT, le système est à son optimum, donc sans flexibilité","OK, le système fonctionne"))</f>
        <v>OK, le système fonctionne</v>
      </c>
      <c r="G113" s="96"/>
      <c r="H113" s="96"/>
      <c r="I113" s="96"/>
      <c r="J113" s="96"/>
      <c r="K113" s="96"/>
      <c r="L113" s="97"/>
    </row>
    <row r="114" ht="15">
      <c r="A114" s="92"/>
    </row>
    <row r="115" ht="12.75">
      <c r="A115" s="94" t="s">
        <v>90</v>
      </c>
    </row>
    <row r="116" spans="1:2" ht="12.75">
      <c r="A116" s="94"/>
      <c r="B116" s="10" t="str">
        <f>CONCATENATE(H106," camions sont requis pour faire les ",H94," chargements ")</f>
        <v>2 camions sont requis pour faire les 10 chargements </v>
      </c>
    </row>
    <row r="117" spans="1:7" ht="12.75">
      <c r="A117" s="94"/>
      <c r="B117" s="10" t="s">
        <v>105</v>
      </c>
      <c r="G117" s="108">
        <f>+H94*I87/H106/H101</f>
        <v>0.8666666666666667</v>
      </c>
    </row>
    <row r="118" ht="13.5" thickBot="1">
      <c r="A118" s="94"/>
    </row>
    <row r="119" spans="6:12" ht="15.75" customHeight="1" thickBot="1">
      <c r="F119" s="95" t="str">
        <f>IF(G117&gt;1,"AVERTISSEMENT, il est impossible de déblayer la face dans le temps alloué",IF(G117&gt;=0.95,"AVERTISSEMENT, le système est à son optimum, donc sans flexibilité","OK, le système fonctionne"))</f>
        <v>OK, le système fonctionne</v>
      </c>
      <c r="G119" s="96"/>
      <c r="H119" s="96"/>
      <c r="I119" s="96"/>
      <c r="J119" s="96"/>
      <c r="K119" s="96"/>
      <c r="L119" s="97"/>
    </row>
    <row r="120" ht="15.75">
      <c r="A120" s="26" t="s">
        <v>91</v>
      </c>
    </row>
    <row r="121" spans="2:9" ht="15">
      <c r="B121" s="115" t="str">
        <f>CONCATENATE("=&gt; 1 chargeuse de ",D13," m³ qui charge des camions à ",D66/2," m de la face")</f>
        <v>=&gt; 1 chargeuse de 3.82 m³ qui charge des camions à 25 m de la face</v>
      </c>
      <c r="C121" s="116"/>
      <c r="D121" s="116"/>
      <c r="E121" s="116"/>
      <c r="F121" s="116"/>
      <c r="G121" s="116"/>
      <c r="H121" s="126"/>
      <c r="I121" s="127"/>
    </row>
    <row r="122" spans="2:9" ht="15">
      <c r="B122" s="115" t="str">
        <f>CONCATENATE("=&gt; ",H106," camions de ",F28," m³ qui transportent à ",D87/2," m du point de chargement")</f>
        <v>=&gt; 2 camions de 10 m³ qui transportent à 701 m du point de chargement</v>
      </c>
      <c r="C122" s="116"/>
      <c r="D122" s="116"/>
      <c r="E122" s="116"/>
      <c r="F122" s="116"/>
      <c r="G122" s="116"/>
      <c r="H122" s="126"/>
      <c r="I122" s="127"/>
    </row>
    <row r="123" spans="2:9" ht="15.75" thickBot="1">
      <c r="B123" s="111" t="str">
        <f>IF(G111&lt;1,IF(G117&lt;1,"LE SYSTÈME FONCTIONNE ","NE FONCTIONNE PAS, RÉVISER LE SYSTÈME OU LE TEMPS ALLOUÉ"),"NE FONCTIONNE PAS, RÉVISER LE SYSTÈME OU LE TEMPS ALLOUÉ")</f>
        <v>LE SYSTÈME FONCTIONNE </v>
      </c>
      <c r="C123" s="112"/>
      <c r="D123" s="112"/>
      <c r="E123" s="112"/>
      <c r="F123" s="112"/>
      <c r="G123" s="112"/>
      <c r="H123" s="112"/>
      <c r="I123" s="114"/>
    </row>
    <row r="128" spans="1:12" ht="15.75">
      <c r="A128" s="148" t="s">
        <v>123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50"/>
    </row>
    <row r="129" spans="1:12" ht="12.75">
      <c r="A129" s="130" t="s">
        <v>92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2"/>
    </row>
    <row r="130" spans="1:12" ht="12.75">
      <c r="A130" s="71"/>
      <c r="B130" s="78" t="s">
        <v>93</v>
      </c>
      <c r="C130" s="66">
        <v>0.05</v>
      </c>
      <c r="D130" s="63" t="str">
        <f>CONCATENATE("",ROUND(180/PI()*ATAN(C130),1),"°")</f>
        <v>2.9°</v>
      </c>
      <c r="E130" s="66">
        <v>0.1</v>
      </c>
      <c r="F130" s="63" t="str">
        <f>CONCATENATE("",ROUND(180/PI()*ATAN(E130),1),"°")</f>
        <v>5.7°</v>
      </c>
      <c r="G130" s="66">
        <v>0.15</v>
      </c>
      <c r="H130" s="63" t="str">
        <f>CONCATENATE("",ROUND(180/PI()*ATAN(G130),1),"°")</f>
        <v>8.5°</v>
      </c>
      <c r="I130" s="66">
        <v>0.2</v>
      </c>
      <c r="J130" s="63" t="str">
        <f>CONCATENATE("",ROUND(180/PI()*ATAN(I130),1),"°")</f>
        <v>11.3°</v>
      </c>
      <c r="K130" s="66">
        <v>0.25</v>
      </c>
      <c r="L130" s="63" t="str">
        <f>CONCATENATE("",ROUND(180/PI()*ATAN(K130),1),"°")</f>
        <v>14°</v>
      </c>
    </row>
    <row r="131" spans="1:12" ht="12.75">
      <c r="A131" s="72" t="s">
        <v>36</v>
      </c>
      <c r="B131" s="72" t="s">
        <v>124</v>
      </c>
      <c r="C131" s="61" t="s">
        <v>111</v>
      </c>
      <c r="D131" s="62" t="s">
        <v>112</v>
      </c>
      <c r="E131" s="61" t="s">
        <v>111</v>
      </c>
      <c r="F131" s="62" t="s">
        <v>112</v>
      </c>
      <c r="G131" s="61" t="s">
        <v>111</v>
      </c>
      <c r="H131" s="62" t="s">
        <v>112</v>
      </c>
      <c r="I131" s="61" t="s">
        <v>111</v>
      </c>
      <c r="J131" s="62" t="s">
        <v>112</v>
      </c>
      <c r="K131" s="61" t="s">
        <v>111</v>
      </c>
      <c r="L131" s="62" t="s">
        <v>112</v>
      </c>
    </row>
    <row r="132" spans="1:12" ht="13.5" thickBot="1">
      <c r="A132" s="73"/>
      <c r="B132" s="73" t="s">
        <v>125</v>
      </c>
      <c r="C132" s="64" t="s">
        <v>26</v>
      </c>
      <c r="D132" s="65" t="s">
        <v>27</v>
      </c>
      <c r="E132" s="64" t="s">
        <v>26</v>
      </c>
      <c r="F132" s="65" t="s">
        <v>27</v>
      </c>
      <c r="G132" s="64" t="s">
        <v>26</v>
      </c>
      <c r="H132" s="65" t="s">
        <v>27</v>
      </c>
      <c r="I132" s="64" t="s">
        <v>26</v>
      </c>
      <c r="J132" s="65" t="s">
        <v>27</v>
      </c>
      <c r="K132" s="64" t="s">
        <v>26</v>
      </c>
      <c r="L132" s="65" t="s">
        <v>27</v>
      </c>
    </row>
    <row r="133" spans="1:12" ht="12.75">
      <c r="A133" s="74" t="s">
        <v>28</v>
      </c>
      <c r="B133" s="72">
        <v>26.9</v>
      </c>
      <c r="C133" s="67">
        <v>8.7</v>
      </c>
      <c r="D133" s="68">
        <v>23.5</v>
      </c>
      <c r="E133" s="67">
        <v>7.4</v>
      </c>
      <c r="F133" s="68">
        <v>15.3</v>
      </c>
      <c r="G133" s="67">
        <v>3.9</v>
      </c>
      <c r="H133" s="68">
        <v>8.5</v>
      </c>
      <c r="I133" s="67">
        <v>3.5</v>
      </c>
      <c r="J133" s="68">
        <v>8.1</v>
      </c>
      <c r="K133" s="67">
        <v>3.4</v>
      </c>
      <c r="L133" s="68">
        <v>4</v>
      </c>
    </row>
    <row r="134" spans="1:12" ht="12.75">
      <c r="A134" s="74" t="s">
        <v>29</v>
      </c>
      <c r="B134" s="72">
        <v>28.5</v>
      </c>
      <c r="C134" s="67">
        <v>10.9</v>
      </c>
      <c r="D134" s="68">
        <v>20.8</v>
      </c>
      <c r="E134" s="67">
        <v>6.8</v>
      </c>
      <c r="F134" s="68">
        <v>12.1</v>
      </c>
      <c r="G134" s="67">
        <v>4</v>
      </c>
      <c r="H134" s="68">
        <v>7.9</v>
      </c>
      <c r="I134" s="67">
        <v>3.7</v>
      </c>
      <c r="J134" s="68">
        <v>7.2</v>
      </c>
      <c r="K134" s="67">
        <v>3.2</v>
      </c>
      <c r="L134" s="68">
        <v>6.3</v>
      </c>
    </row>
    <row r="135" spans="1:12" ht="12.75">
      <c r="A135" s="74" t="s">
        <v>30</v>
      </c>
      <c r="B135" s="72">
        <v>32.2</v>
      </c>
      <c r="C135" s="67">
        <v>11.6</v>
      </c>
      <c r="D135" s="68">
        <v>21.3</v>
      </c>
      <c r="E135" s="67">
        <v>7.2</v>
      </c>
      <c r="F135" s="68">
        <v>13.2</v>
      </c>
      <c r="G135" s="67">
        <v>5.2</v>
      </c>
      <c r="H135" s="68">
        <v>8.9</v>
      </c>
      <c r="I135" s="67">
        <v>4</v>
      </c>
      <c r="J135" s="68">
        <v>7.7</v>
      </c>
      <c r="K135" s="67">
        <v>3.4</v>
      </c>
      <c r="L135" s="68">
        <v>6.3</v>
      </c>
    </row>
    <row r="136" spans="1:12" ht="12.75">
      <c r="A136" s="74" t="s">
        <v>31</v>
      </c>
      <c r="B136" s="72">
        <v>22.2</v>
      </c>
      <c r="C136" s="67">
        <v>11.5</v>
      </c>
      <c r="D136" s="68">
        <v>20.3</v>
      </c>
      <c r="E136" s="67">
        <v>7</v>
      </c>
      <c r="F136" s="68">
        <v>15.8</v>
      </c>
      <c r="G136" s="67">
        <v>6.1</v>
      </c>
      <c r="H136" s="68">
        <v>7</v>
      </c>
      <c r="I136" s="67">
        <v>3.8</v>
      </c>
      <c r="J136" s="68">
        <v>6.7</v>
      </c>
      <c r="K136" s="67">
        <v>3.5</v>
      </c>
      <c r="L136" s="68">
        <v>6.4</v>
      </c>
    </row>
    <row r="137" spans="1:12" ht="12.75">
      <c r="A137" s="74" t="s">
        <v>32</v>
      </c>
      <c r="B137" s="72">
        <v>24.2</v>
      </c>
      <c r="C137" s="67">
        <v>11.6</v>
      </c>
      <c r="D137" s="68">
        <v>20.9</v>
      </c>
      <c r="E137" s="67">
        <v>7.2</v>
      </c>
      <c r="F137" s="68">
        <v>14.5</v>
      </c>
      <c r="G137" s="67">
        <v>5.5</v>
      </c>
      <c r="H137" s="68">
        <v>7.4</v>
      </c>
      <c r="I137" s="67">
        <v>4.3</v>
      </c>
      <c r="J137" s="68">
        <v>6.8</v>
      </c>
      <c r="K137" s="67">
        <v>3.5</v>
      </c>
      <c r="L137" s="68">
        <v>6.4</v>
      </c>
    </row>
    <row r="138" spans="1:12" ht="12.75">
      <c r="A138" s="74" t="s">
        <v>33</v>
      </c>
      <c r="B138" s="72">
        <v>32.2</v>
      </c>
      <c r="C138" s="67">
        <v>9.8</v>
      </c>
      <c r="D138" s="68">
        <v>17</v>
      </c>
      <c r="E138" s="67">
        <v>6.4</v>
      </c>
      <c r="F138" s="68">
        <v>13.3</v>
      </c>
      <c r="G138" s="67">
        <v>4</v>
      </c>
      <c r="H138" s="68">
        <v>8.3</v>
      </c>
      <c r="I138" s="67">
        <v>3.7</v>
      </c>
      <c r="J138" s="68">
        <v>7.2</v>
      </c>
      <c r="K138" s="67">
        <v>3</v>
      </c>
      <c r="L138" s="68">
        <v>4.5</v>
      </c>
    </row>
    <row r="139" spans="1:12" ht="12.75">
      <c r="A139" s="74" t="s">
        <v>34</v>
      </c>
      <c r="B139" s="72">
        <v>30.3</v>
      </c>
      <c r="C139" s="67">
        <v>12.6</v>
      </c>
      <c r="D139" s="68">
        <v>24.5</v>
      </c>
      <c r="E139" s="67">
        <v>7.6</v>
      </c>
      <c r="F139" s="68">
        <v>14.5</v>
      </c>
      <c r="G139" s="67">
        <v>5.2</v>
      </c>
      <c r="H139" s="68">
        <v>11.6</v>
      </c>
      <c r="I139" s="67">
        <v>4.2</v>
      </c>
      <c r="J139" s="68">
        <v>7.9</v>
      </c>
      <c r="K139" s="67">
        <v>3.5</v>
      </c>
      <c r="L139" s="68">
        <v>7.2</v>
      </c>
    </row>
    <row r="140" spans="1:12" ht="12.75">
      <c r="A140" s="74" t="s">
        <v>35</v>
      </c>
      <c r="B140" s="72">
        <v>30.3</v>
      </c>
      <c r="C140" s="67">
        <v>12.6</v>
      </c>
      <c r="D140" s="68">
        <v>24.2</v>
      </c>
      <c r="E140" s="67">
        <v>7.4</v>
      </c>
      <c r="F140" s="68">
        <v>14.2</v>
      </c>
      <c r="G140" s="67">
        <v>5.2</v>
      </c>
      <c r="H140" s="68">
        <v>8.4</v>
      </c>
      <c r="I140" s="67">
        <v>4</v>
      </c>
      <c r="J140" s="68">
        <v>8.1</v>
      </c>
      <c r="K140" s="67">
        <v>3.5</v>
      </c>
      <c r="L140" s="68">
        <v>7.2</v>
      </c>
    </row>
    <row r="141" spans="1:12" ht="12.75">
      <c r="A141" s="75" t="s">
        <v>30</v>
      </c>
      <c r="B141" s="30">
        <v>32.2</v>
      </c>
      <c r="C141" s="69">
        <v>8.9</v>
      </c>
      <c r="D141" s="70">
        <v>16.1</v>
      </c>
      <c r="E141" s="69">
        <v>6.6</v>
      </c>
      <c r="F141" s="70">
        <v>4.2</v>
      </c>
      <c r="G141" s="69">
        <v>4.3</v>
      </c>
      <c r="H141" s="70">
        <v>3.7</v>
      </c>
      <c r="I141" s="69">
        <v>1.8</v>
      </c>
      <c r="J141" s="70">
        <v>3.4</v>
      </c>
      <c r="K141" s="69">
        <v>1.6</v>
      </c>
      <c r="L141" s="70">
        <v>2.6</v>
      </c>
    </row>
    <row r="142" spans="1:12" ht="12.75">
      <c r="A142" s="76" t="s">
        <v>126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77"/>
    </row>
    <row r="144" spans="1:6" ht="12.75">
      <c r="A144" s="14"/>
      <c r="B144" s="14"/>
      <c r="C144" s="14"/>
      <c r="D144" s="14"/>
      <c r="E144" s="14"/>
      <c r="F144" s="14"/>
    </row>
    <row r="145" spans="1:5" ht="12.75">
      <c r="A145" s="125"/>
      <c r="B145" s="125"/>
      <c r="C145" s="125"/>
      <c r="D145" s="125"/>
      <c r="E145" s="125"/>
    </row>
    <row r="146" spans="1:5" ht="14.25">
      <c r="A146" s="143" t="s">
        <v>36</v>
      </c>
      <c r="B146" s="140" t="s">
        <v>37</v>
      </c>
      <c r="C146" s="141"/>
      <c r="D146" s="141"/>
      <c r="E146" s="142"/>
    </row>
    <row r="147" spans="1:5" ht="12.75">
      <c r="A147" s="144"/>
      <c r="B147" s="31" t="s">
        <v>113</v>
      </c>
      <c r="C147" s="146" t="s">
        <v>2</v>
      </c>
      <c r="D147" s="133" t="s">
        <v>114</v>
      </c>
      <c r="E147" s="135" t="s">
        <v>1</v>
      </c>
    </row>
    <row r="148" spans="1:5" ht="13.5" thickBot="1">
      <c r="A148" s="145"/>
      <c r="B148" s="73" t="s">
        <v>127</v>
      </c>
      <c r="C148" s="147"/>
      <c r="D148" s="134"/>
      <c r="E148" s="136"/>
    </row>
    <row r="149" spans="1:5" ht="12.75">
      <c r="A149" s="74" t="s">
        <v>28</v>
      </c>
      <c r="B149" s="30">
        <v>13</v>
      </c>
      <c r="C149" s="69">
        <f>+B149*2000/3300</f>
        <v>7.878787878787879</v>
      </c>
      <c r="D149" s="81">
        <f aca="true" t="shared" si="2" ref="D149:D157">+B149/1.1023</f>
        <v>11.793522634491516</v>
      </c>
      <c r="E149" s="42">
        <f aca="true" t="shared" si="3" ref="E149:E157">+C149*0.7645</f>
        <v>6.023333333333333</v>
      </c>
    </row>
    <row r="150" spans="1:5" ht="12.75">
      <c r="A150" s="74" t="s">
        <v>29</v>
      </c>
      <c r="B150" s="29">
        <v>16</v>
      </c>
      <c r="C150" s="80">
        <f aca="true" t="shared" si="4" ref="C150:C155">+B150*2000/3300</f>
        <v>9.696969696969697</v>
      </c>
      <c r="D150" s="82">
        <f t="shared" si="2"/>
        <v>14.515104780912637</v>
      </c>
      <c r="E150" s="79">
        <f t="shared" si="3"/>
        <v>7.413333333333333</v>
      </c>
    </row>
    <row r="151" spans="1:5" ht="12.75">
      <c r="A151" s="74" t="s">
        <v>30</v>
      </c>
      <c r="B151" s="29">
        <v>20</v>
      </c>
      <c r="C151" s="80">
        <f t="shared" si="4"/>
        <v>12.121212121212121</v>
      </c>
      <c r="D151" s="82">
        <f t="shared" si="2"/>
        <v>18.143880976140796</v>
      </c>
      <c r="E151" s="79">
        <f t="shared" si="3"/>
        <v>9.266666666666666</v>
      </c>
    </row>
    <row r="152" spans="1:5" ht="12.75">
      <c r="A152" s="74" t="s">
        <v>31</v>
      </c>
      <c r="B152" s="29">
        <v>22</v>
      </c>
      <c r="C152" s="80">
        <f t="shared" si="4"/>
        <v>13.333333333333334</v>
      </c>
      <c r="D152" s="82">
        <f t="shared" si="2"/>
        <v>19.958269073754874</v>
      </c>
      <c r="E152" s="79">
        <f t="shared" si="3"/>
        <v>10.193333333333333</v>
      </c>
    </row>
    <row r="153" spans="1:5" ht="12.75">
      <c r="A153" s="74" t="s">
        <v>32</v>
      </c>
      <c r="B153" s="29">
        <v>26</v>
      </c>
      <c r="C153" s="80">
        <f t="shared" si="4"/>
        <v>15.757575757575758</v>
      </c>
      <c r="D153" s="82">
        <f t="shared" si="2"/>
        <v>23.587045268983033</v>
      </c>
      <c r="E153" s="79">
        <f t="shared" si="3"/>
        <v>12.046666666666667</v>
      </c>
    </row>
    <row r="154" spans="1:5" ht="12.75">
      <c r="A154" s="74" t="s">
        <v>33</v>
      </c>
      <c r="B154" s="29">
        <v>33</v>
      </c>
      <c r="C154" s="80">
        <f t="shared" si="4"/>
        <v>20</v>
      </c>
      <c r="D154" s="82">
        <f t="shared" si="2"/>
        <v>29.937403610632312</v>
      </c>
      <c r="E154" s="79">
        <f t="shared" si="3"/>
        <v>15.29</v>
      </c>
    </row>
    <row r="155" spans="1:5" ht="12.75">
      <c r="A155" s="74" t="s">
        <v>34</v>
      </c>
      <c r="B155" s="29">
        <v>39</v>
      </c>
      <c r="C155" s="80">
        <f t="shared" si="4"/>
        <v>23.636363636363637</v>
      </c>
      <c r="D155" s="82">
        <f t="shared" si="2"/>
        <v>35.38056790347455</v>
      </c>
      <c r="E155" s="79">
        <f t="shared" si="3"/>
        <v>18.07</v>
      </c>
    </row>
    <row r="156" spans="1:5" ht="12.75">
      <c r="A156" s="74" t="s">
        <v>35</v>
      </c>
      <c r="B156" s="29"/>
      <c r="C156" s="80"/>
      <c r="D156" s="82">
        <f t="shared" si="2"/>
        <v>0</v>
      </c>
      <c r="E156" s="79">
        <f t="shared" si="3"/>
        <v>0</v>
      </c>
    </row>
    <row r="157" spans="1:5" ht="12.75">
      <c r="A157" s="75" t="s">
        <v>30</v>
      </c>
      <c r="B157" s="29"/>
      <c r="C157" s="80"/>
      <c r="D157" s="82">
        <f t="shared" si="2"/>
        <v>0</v>
      </c>
      <c r="E157" s="79">
        <f t="shared" si="3"/>
        <v>0</v>
      </c>
    </row>
  </sheetData>
  <mergeCells count="13">
    <mergeCell ref="A146:A148"/>
    <mergeCell ref="C147:C148"/>
    <mergeCell ref="A128:L128"/>
    <mergeCell ref="A129:L129"/>
    <mergeCell ref="D147:D148"/>
    <mergeCell ref="E147:E148"/>
    <mergeCell ref="A29:D30"/>
    <mergeCell ref="C74:D74"/>
    <mergeCell ref="E74:F74"/>
    <mergeCell ref="B146:E146"/>
    <mergeCell ref="C56:D56"/>
    <mergeCell ref="E56:F56"/>
    <mergeCell ref="A46:D47"/>
  </mergeCells>
  <printOptions/>
  <pageMargins left="0.75" right="0.75" top="1" bottom="1" header="0.5" footer="0.5"/>
  <pageSetup cellComments="asDisplayed" horizontalDpi="600" verticalDpi="600" orientation="landscape" scale="95" r:id="rId4"/>
  <headerFooter alignWithMargins="0">
    <oddFooter>&amp;LFichier : &amp;F
Onglet : &amp;A
Page &amp;P de &amp;N&amp;CMine-laboratoire
Val-d'Or&amp;R&amp;D
&amp;T</oddFooter>
  </headerFooter>
  <rowBreaks count="3" manualBreakCount="3">
    <brk id="35" max="255" man="1"/>
    <brk id="70" max="255" man="1"/>
    <brk id="9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5" width="11.421875" style="0" customWidth="1"/>
    <col min="6" max="6" width="17.7109375" style="0" customWidth="1"/>
    <col min="7" max="16384" width="11.421875" style="0" customWidth="1"/>
  </cols>
  <sheetData>
    <row r="1" ht="15">
      <c r="A1" s="44" t="s">
        <v>128</v>
      </c>
    </row>
    <row r="2" ht="15">
      <c r="A2" s="44" t="s">
        <v>117</v>
      </c>
    </row>
    <row r="3" ht="13.5" customHeight="1" thickBot="1">
      <c r="A3" s="44"/>
    </row>
    <row r="4" spans="1:5" ht="12.75" customHeight="1" thickBot="1">
      <c r="A4" s="44"/>
      <c r="C4" s="151" t="s">
        <v>119</v>
      </c>
      <c r="D4" s="152"/>
      <c r="E4" s="153"/>
    </row>
    <row r="5" spans="1:5" ht="12.75">
      <c r="A5" s="154" t="s">
        <v>118</v>
      </c>
      <c r="B5" s="155"/>
      <c r="C5" s="156" t="s">
        <v>120</v>
      </c>
      <c r="D5" s="157"/>
      <c r="E5" s="158"/>
    </row>
    <row r="6" spans="1:5" ht="13.5" thickBot="1">
      <c r="A6" s="46" t="s">
        <v>21</v>
      </c>
      <c r="B6" s="47" t="s">
        <v>22</v>
      </c>
      <c r="C6" s="46" t="s">
        <v>23</v>
      </c>
      <c r="D6" s="48" t="s">
        <v>24</v>
      </c>
      <c r="E6" s="47" t="s">
        <v>25</v>
      </c>
    </row>
    <row r="7" spans="1:5" ht="13.5" thickTop="1">
      <c r="A7" s="49">
        <v>0</v>
      </c>
      <c r="B7" s="50">
        <v>0</v>
      </c>
      <c r="C7" s="49">
        <v>0.81</v>
      </c>
      <c r="D7" s="51">
        <v>1.11</v>
      </c>
      <c r="E7" s="52">
        <v>1.35</v>
      </c>
    </row>
    <row r="8" spans="1:5" ht="12.75">
      <c r="A8" s="53">
        <f aca="true" t="shared" si="0" ref="A8:A13">+B8/3.28</f>
        <v>15.24390243902439</v>
      </c>
      <c r="B8" s="54">
        <v>50</v>
      </c>
      <c r="C8" s="53">
        <v>1.33</v>
      </c>
      <c r="D8" s="55">
        <v>1.59</v>
      </c>
      <c r="E8" s="56">
        <v>1.9</v>
      </c>
    </row>
    <row r="9" spans="1:5" ht="12.75">
      <c r="A9" s="53">
        <f t="shared" si="0"/>
        <v>30.48780487804878</v>
      </c>
      <c r="B9" s="54">
        <v>100</v>
      </c>
      <c r="C9" s="53">
        <v>1.57</v>
      </c>
      <c r="D9" s="55">
        <v>1.87</v>
      </c>
      <c r="E9" s="56">
        <v>2.29</v>
      </c>
    </row>
    <row r="10" spans="1:5" ht="12.75">
      <c r="A10" s="53">
        <f t="shared" si="0"/>
        <v>45.73170731707317</v>
      </c>
      <c r="B10" s="54">
        <v>150</v>
      </c>
      <c r="C10" s="53">
        <v>1.7</v>
      </c>
      <c r="D10" s="55">
        <v>2.07</v>
      </c>
      <c r="E10" s="56">
        <v>2.51</v>
      </c>
    </row>
    <row r="11" spans="1:5" ht="12.75">
      <c r="A11" s="53">
        <f t="shared" si="0"/>
        <v>60.97560975609756</v>
      </c>
      <c r="B11" s="54">
        <v>200</v>
      </c>
      <c r="C11" s="53">
        <v>1.75</v>
      </c>
      <c r="D11" s="55">
        <v>2.19</v>
      </c>
      <c r="E11" s="56">
        <v>2.71</v>
      </c>
    </row>
    <row r="12" spans="1:5" ht="12.75">
      <c r="A12" s="53">
        <f t="shared" si="0"/>
        <v>76.21951219512195</v>
      </c>
      <c r="B12" s="54">
        <v>250</v>
      </c>
      <c r="C12" s="53">
        <v>1.8</v>
      </c>
      <c r="D12" s="55">
        <v>2.26</v>
      </c>
      <c r="E12" s="56">
        <v>2.83</v>
      </c>
    </row>
    <row r="13" spans="1:5" ht="13.5" thickBot="1">
      <c r="A13" s="57">
        <f t="shared" si="0"/>
        <v>91.46341463414635</v>
      </c>
      <c r="B13" s="58">
        <v>300</v>
      </c>
      <c r="C13" s="57">
        <v>1.8</v>
      </c>
      <c r="D13" s="59">
        <v>2.27</v>
      </c>
      <c r="E13" s="60">
        <v>2.9</v>
      </c>
    </row>
    <row r="39" ht="12.75">
      <c r="A39" t="s">
        <v>129</v>
      </c>
    </row>
    <row r="40" ht="12.75">
      <c r="A40" s="43" t="s">
        <v>130</v>
      </c>
    </row>
    <row r="41" ht="12.75">
      <c r="A41" s="43"/>
    </row>
    <row r="42" ht="12.75">
      <c r="A42" s="45" t="s">
        <v>126</v>
      </c>
    </row>
    <row r="43" ht="12.75">
      <c r="A43" s="128"/>
    </row>
  </sheetData>
  <mergeCells count="3">
    <mergeCell ref="C4:E4"/>
    <mergeCell ref="A5:B5"/>
    <mergeCell ref="C5:E5"/>
  </mergeCells>
  <printOptions/>
  <pageMargins left="0.7" right="0.45" top="1" bottom="1" header="0.4921259845" footer="0.4921259845"/>
  <pageSetup horizontalDpi="600" verticalDpi="600" orientation="portrait" scale="110" r:id="rId2"/>
  <headerFooter alignWithMargins="0">
    <oddFooter>&amp;LFichier : &amp;F
Onglet : &amp;A
Page &amp;P de &amp;N&amp;CMine-laboratoire
Val-d'Or&amp;R&amp;D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NRCan-RNCan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Roger Lacroix</cp:lastModifiedBy>
  <cp:lastPrinted>2002-11-08T15:44:47Z</cp:lastPrinted>
  <dcterms:created xsi:type="dcterms:W3CDTF">2000-12-07T17:12:01Z</dcterms:created>
  <dcterms:modified xsi:type="dcterms:W3CDTF">2005-01-17T15:10:32Z</dcterms:modified>
  <cp:category/>
  <cp:version/>
  <cp:contentType/>
  <cp:contentStatus/>
</cp:coreProperties>
</file>